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autoCompressPictures="0"/>
  <bookViews>
    <workbookView xWindow="480" yWindow="480" windowWidth="17496" windowHeight="11016" tabRatio="500" activeTab="7"/>
  </bookViews>
  <sheets>
    <sheet name="Recap détaillée" sheetId="13" r:id="rId1"/>
    <sheet name="TF plateforme commerciale" sheetId="23" r:id="rId2"/>
    <sheet name="Voirie" sheetId="2" r:id="rId3"/>
    <sheet name="Marché et transport" sheetId="5" r:id="rId4"/>
    <sheet name="Equipements de proximité" sheetId="9" r:id="rId5"/>
    <sheet name="2 zones" sheetId="20" r:id="rId6"/>
    <sheet name="Assamo Marchés" sheetId="21" r:id="rId7"/>
    <sheet name="Place à vivre" sheetId="22" r:id="rId8"/>
  </sheets>
  <calcPr calcId="124519" concurrentCalc="0"/>
  <extLst>
    <ext xmlns:mx="http://schemas.microsoft.com/office/mac/excel/2008/main" uri="{7523E5D3-25F3-A5E0-1632-64F254C22452}">
      <mx:ArchID Flags="2"/>
    </ext>
  </extLst>
</workbook>
</file>

<file path=xl/calcChain.xml><?xml version="1.0" encoding="utf-8"?>
<calcChain xmlns="http://schemas.openxmlformats.org/spreadsheetml/2006/main">
  <c r="K160" i="13"/>
  <c r="J160"/>
  <c r="I160"/>
  <c r="K163"/>
  <c r="K165"/>
  <c r="K175"/>
  <c r="K177"/>
  <c r="K180"/>
  <c r="J170"/>
  <c r="K172"/>
  <c r="K170"/>
  <c r="D5"/>
  <c r="F5"/>
  <c r="G5"/>
  <c r="I5"/>
  <c r="F6"/>
  <c r="G6"/>
  <c r="I6"/>
  <c r="I8"/>
  <c r="I10"/>
  <c r="I12"/>
  <c r="I14"/>
  <c r="F17"/>
  <c r="G17"/>
  <c r="I17"/>
  <c r="I19"/>
  <c r="F22"/>
  <c r="G22"/>
  <c r="I22"/>
  <c r="F23"/>
  <c r="G23"/>
  <c r="I23"/>
  <c r="D25"/>
  <c r="F25"/>
  <c r="G25"/>
  <c r="I25"/>
  <c r="I27"/>
  <c r="I29"/>
  <c r="I31"/>
  <c r="I33"/>
  <c r="I35"/>
  <c r="I37"/>
  <c r="I38"/>
  <c r="I40"/>
  <c r="I41"/>
  <c r="I74"/>
  <c r="F46"/>
  <c r="D47"/>
  <c r="F47"/>
  <c r="E48"/>
  <c r="F48"/>
  <c r="E49"/>
  <c r="F49"/>
  <c r="F50"/>
  <c r="F51"/>
  <c r="F52"/>
  <c r="G52"/>
  <c r="I52"/>
  <c r="I60"/>
  <c r="I80"/>
  <c r="I89"/>
  <c r="F82"/>
  <c r="F83"/>
  <c r="F84"/>
  <c r="G84"/>
  <c r="I84"/>
  <c r="I93"/>
  <c r="I94"/>
  <c r="I100"/>
  <c r="I101"/>
  <c r="I103"/>
  <c r="I104"/>
  <c r="I106"/>
  <c r="E108"/>
  <c r="F108"/>
  <c r="G108"/>
  <c r="I108"/>
  <c r="E109"/>
  <c r="F109"/>
  <c r="G109"/>
  <c r="I109"/>
  <c r="I110"/>
  <c r="I111"/>
  <c r="I112"/>
  <c r="I113"/>
  <c r="I114"/>
  <c r="I115"/>
  <c r="I116"/>
  <c r="I117"/>
  <c r="I118"/>
  <c r="I119"/>
  <c r="I120"/>
  <c r="I121"/>
  <c r="F123"/>
  <c r="G123"/>
  <c r="I123"/>
  <c r="I124"/>
  <c r="F126"/>
  <c r="G126"/>
  <c r="I126"/>
  <c r="F127"/>
  <c r="G127"/>
  <c r="I127"/>
  <c r="I128"/>
  <c r="I129"/>
  <c r="I130"/>
  <c r="F135"/>
  <c r="G135"/>
  <c r="I135"/>
  <c r="F138"/>
  <c r="G138"/>
  <c r="I138"/>
  <c r="F139"/>
  <c r="G139"/>
  <c r="I139"/>
  <c r="F140"/>
  <c r="G140"/>
  <c r="I140"/>
  <c r="F141"/>
  <c r="G141"/>
  <c r="I141"/>
  <c r="E142"/>
  <c r="F142"/>
  <c r="G142"/>
  <c r="I142"/>
  <c r="I144"/>
  <c r="I145"/>
  <c r="I147"/>
  <c r="I148"/>
  <c r="I149"/>
  <c r="I150"/>
  <c r="I152"/>
  <c r="I154"/>
  <c r="I156"/>
  <c r="I157"/>
  <c r="J5"/>
  <c r="J6"/>
  <c r="D8"/>
  <c r="F8"/>
  <c r="G8"/>
  <c r="J8"/>
  <c r="J10"/>
  <c r="J12"/>
  <c r="J14"/>
  <c r="J17"/>
  <c r="J19"/>
  <c r="J22"/>
  <c r="J23"/>
  <c r="J25"/>
  <c r="F27"/>
  <c r="G27"/>
  <c r="J27"/>
  <c r="F29"/>
  <c r="G29"/>
  <c r="J29"/>
  <c r="F31"/>
  <c r="G31"/>
  <c r="J31"/>
  <c r="F33"/>
  <c r="G33"/>
  <c r="J33"/>
  <c r="J35"/>
  <c r="J37"/>
  <c r="J38"/>
  <c r="J40"/>
  <c r="J41"/>
  <c r="F62"/>
  <c r="F63"/>
  <c r="F64"/>
  <c r="F66"/>
  <c r="F67"/>
  <c r="F68"/>
  <c r="F70"/>
  <c r="F71"/>
  <c r="F72"/>
  <c r="F73"/>
  <c r="F74"/>
  <c r="G74"/>
  <c r="J74"/>
  <c r="J52"/>
  <c r="F54"/>
  <c r="F55"/>
  <c r="E56"/>
  <c r="F56"/>
  <c r="E57"/>
  <c r="F57"/>
  <c r="F58"/>
  <c r="F59"/>
  <c r="F60"/>
  <c r="G60"/>
  <c r="J60"/>
  <c r="F76"/>
  <c r="F77"/>
  <c r="F78"/>
  <c r="F79"/>
  <c r="F80"/>
  <c r="G80"/>
  <c r="J80"/>
  <c r="J89"/>
  <c r="J84"/>
  <c r="J93"/>
  <c r="J94"/>
  <c r="F100"/>
  <c r="G100"/>
  <c r="J100"/>
  <c r="J101"/>
  <c r="J103"/>
  <c r="J104"/>
  <c r="F106"/>
  <c r="G106"/>
  <c r="J106"/>
  <c r="J108"/>
  <c r="J109"/>
  <c r="D110"/>
  <c r="E110"/>
  <c r="F110"/>
  <c r="G110"/>
  <c r="J110"/>
  <c r="E111"/>
  <c r="F111"/>
  <c r="G111"/>
  <c r="J111"/>
  <c r="E112"/>
  <c r="F112"/>
  <c r="G112"/>
  <c r="J112"/>
  <c r="E113"/>
  <c r="F113"/>
  <c r="G113"/>
  <c r="J113"/>
  <c r="J114"/>
  <c r="J115"/>
  <c r="J116"/>
  <c r="J117"/>
  <c r="J118"/>
  <c r="J119"/>
  <c r="J120"/>
  <c r="J121"/>
  <c r="J123"/>
  <c r="F124"/>
  <c r="G124"/>
  <c r="J124"/>
  <c r="J126"/>
  <c r="J127"/>
  <c r="F128"/>
  <c r="G128"/>
  <c r="J128"/>
  <c r="F129"/>
  <c r="G129"/>
  <c r="J129"/>
  <c r="J130"/>
  <c r="J135"/>
  <c r="J138"/>
  <c r="J139"/>
  <c r="J140"/>
  <c r="J141"/>
  <c r="J142"/>
  <c r="F144"/>
  <c r="G144"/>
  <c r="J144"/>
  <c r="E145"/>
  <c r="F145"/>
  <c r="G145"/>
  <c r="J145"/>
  <c r="J147"/>
  <c r="J148"/>
  <c r="J149"/>
  <c r="J150"/>
  <c r="J152"/>
  <c r="J154"/>
  <c r="J156"/>
  <c r="J157"/>
  <c r="K5"/>
  <c r="K6"/>
  <c r="K8"/>
  <c r="D10"/>
  <c r="F10"/>
  <c r="G10"/>
  <c r="K10"/>
  <c r="D12"/>
  <c r="F12"/>
  <c r="G12"/>
  <c r="K12"/>
  <c r="D14"/>
  <c r="F14"/>
  <c r="G14"/>
  <c r="K14"/>
  <c r="K17"/>
  <c r="D19"/>
  <c r="F19"/>
  <c r="G19"/>
  <c r="K19"/>
  <c r="K22"/>
  <c r="K23"/>
  <c r="K25"/>
  <c r="K27"/>
  <c r="K29"/>
  <c r="K31"/>
  <c r="K33"/>
  <c r="F35"/>
  <c r="G35"/>
  <c r="K35"/>
  <c r="D37"/>
  <c r="F37"/>
  <c r="G37"/>
  <c r="K37"/>
  <c r="F38"/>
  <c r="G38"/>
  <c r="K38"/>
  <c r="F40"/>
  <c r="G40"/>
  <c r="K40"/>
  <c r="K41"/>
  <c r="K74"/>
  <c r="K52"/>
  <c r="K60"/>
  <c r="K80"/>
  <c r="F86"/>
  <c r="F87"/>
  <c r="F88"/>
  <c r="F89"/>
  <c r="G89"/>
  <c r="K89"/>
  <c r="K84"/>
  <c r="F91"/>
  <c r="F92"/>
  <c r="F93"/>
  <c r="G93"/>
  <c r="K93"/>
  <c r="K94"/>
  <c r="K100"/>
  <c r="F101"/>
  <c r="G101"/>
  <c r="K101"/>
  <c r="F103"/>
  <c r="G103"/>
  <c r="K103"/>
  <c r="F104"/>
  <c r="G104"/>
  <c r="K104"/>
  <c r="K106"/>
  <c r="K108"/>
  <c r="K109"/>
  <c r="K110"/>
  <c r="K111"/>
  <c r="K112"/>
  <c r="K113"/>
  <c r="D114"/>
  <c r="E114"/>
  <c r="F114"/>
  <c r="G114"/>
  <c r="K114"/>
  <c r="D115"/>
  <c r="E115"/>
  <c r="F115"/>
  <c r="G115"/>
  <c r="K115"/>
  <c r="D116"/>
  <c r="E116"/>
  <c r="F116"/>
  <c r="G116"/>
  <c r="K116"/>
  <c r="D117"/>
  <c r="E117"/>
  <c r="F117"/>
  <c r="G117"/>
  <c r="K117"/>
  <c r="E118"/>
  <c r="F118"/>
  <c r="G118"/>
  <c r="K118"/>
  <c r="E119"/>
  <c r="F119"/>
  <c r="G119"/>
  <c r="K119"/>
  <c r="E120"/>
  <c r="F120"/>
  <c r="G120"/>
  <c r="K120"/>
  <c r="E121"/>
  <c r="F121"/>
  <c r="G121"/>
  <c r="K121"/>
  <c r="K123"/>
  <c r="K124"/>
  <c r="K126"/>
  <c r="K127"/>
  <c r="K128"/>
  <c r="K129"/>
  <c r="K130"/>
  <c r="K135"/>
  <c r="K138"/>
  <c r="K139"/>
  <c r="K140"/>
  <c r="K141"/>
  <c r="K142"/>
  <c r="K144"/>
  <c r="K145"/>
  <c r="K147"/>
  <c r="K148"/>
  <c r="K149"/>
  <c r="K150"/>
  <c r="F152"/>
  <c r="G152"/>
  <c r="K152"/>
  <c r="F154"/>
  <c r="G154"/>
  <c r="K154"/>
  <c r="F156"/>
  <c r="G156"/>
  <c r="K156"/>
  <c r="K157"/>
  <c r="L164"/>
  <c r="L165"/>
  <c r="J164"/>
  <c r="J165"/>
  <c r="J163"/>
  <c r="J175"/>
  <c r="I165"/>
  <c r="I163"/>
  <c r="I175"/>
  <c r="K167"/>
  <c r="J168"/>
  <c r="K168"/>
  <c r="K171"/>
  <c r="L163"/>
  <c r="G130"/>
  <c r="G94"/>
  <c r="G41"/>
  <c r="G157"/>
  <c r="G160"/>
  <c r="G163"/>
  <c r="G165"/>
  <c r="G175"/>
  <c r="F174"/>
  <c r="F170"/>
  <c r="F171"/>
  <c r="F172"/>
  <c r="F130"/>
  <c r="F94"/>
  <c r="F41"/>
  <c r="F157"/>
  <c r="F160"/>
  <c r="F163"/>
  <c r="F164"/>
  <c r="F165"/>
  <c r="F175"/>
  <c r="L130"/>
  <c r="L94"/>
  <c r="L41"/>
  <c r="L160"/>
  <c r="R3" i="23"/>
  <c r="R5"/>
  <c r="W8"/>
  <c r="R7"/>
  <c r="W7"/>
  <c r="G91" i="13"/>
  <c r="G92"/>
  <c r="G82"/>
  <c r="G83"/>
  <c r="G79"/>
  <c r="G78"/>
  <c r="G77"/>
  <c r="G76"/>
  <c r="T13" i="23"/>
  <c r="U13"/>
  <c r="U8"/>
  <c r="U7"/>
  <c r="T12"/>
  <c r="U12"/>
  <c r="T14"/>
  <c r="U14"/>
  <c r="T15"/>
  <c r="U15"/>
  <c r="U16"/>
  <c r="U17"/>
  <c r="U18"/>
  <c r="U19"/>
  <c r="U20"/>
  <c r="U21"/>
  <c r="U22"/>
  <c r="U23"/>
  <c r="R9"/>
  <c r="C8"/>
  <c r="J177" i="13"/>
  <c r="F168"/>
  <c r="I177"/>
  <c r="N36" i="20"/>
  <c r="N37"/>
  <c r="N38"/>
  <c r="N34"/>
  <c r="N26"/>
  <c r="N27"/>
  <c r="N28"/>
  <c r="N29"/>
  <c r="N30"/>
  <c r="N32"/>
  <c r="N21"/>
  <c r="N22"/>
  <c r="N23"/>
  <c r="N18"/>
  <c r="N15"/>
  <c r="N13"/>
  <c r="N40"/>
  <c r="O36"/>
  <c r="O37"/>
  <c r="O38"/>
  <c r="O34"/>
  <c r="O26"/>
  <c r="O27"/>
  <c r="O28"/>
  <c r="O29"/>
  <c r="O30"/>
  <c r="O32"/>
  <c r="O21"/>
  <c r="O22"/>
  <c r="O23"/>
  <c r="O18"/>
  <c r="O15"/>
  <c r="O13"/>
  <c r="O40"/>
  <c r="N51"/>
  <c r="N53"/>
  <c r="O51"/>
  <c r="O53"/>
  <c r="E68"/>
  <c r="R277" i="21"/>
  <c r="D55" i="20"/>
  <c r="E55"/>
  <c r="M259" i="21"/>
  <c r="R260"/>
  <c r="M230"/>
  <c r="R231"/>
  <c r="M195"/>
  <c r="R196"/>
  <c r="R278"/>
  <c r="R261"/>
  <c r="M231"/>
  <c r="R232"/>
  <c r="M196"/>
  <c r="R197"/>
  <c r="R279"/>
  <c r="R262"/>
  <c r="M156"/>
  <c r="R157"/>
  <c r="R280"/>
  <c r="R234"/>
  <c r="R199"/>
  <c r="R281"/>
  <c r="D56" i="20"/>
  <c r="E56"/>
  <c r="R263" i="21"/>
  <c r="R233"/>
  <c r="R235"/>
  <c r="R198"/>
  <c r="R200"/>
  <c r="R282"/>
  <c r="D57" i="20"/>
  <c r="E57"/>
  <c r="D58"/>
  <c r="E58"/>
  <c r="D59"/>
  <c r="E59"/>
  <c r="D60"/>
  <c r="E60"/>
  <c r="R286" i="21"/>
  <c r="D61" i="20"/>
  <c r="E61"/>
  <c r="R287" i="21"/>
  <c r="D62" i="20"/>
  <c r="E62"/>
  <c r="D63"/>
  <c r="E63"/>
  <c r="D64"/>
  <c r="E64"/>
  <c r="R283" i="21"/>
  <c r="D65" i="20"/>
  <c r="E65"/>
  <c r="E66"/>
  <c r="E51"/>
  <c r="E52"/>
  <c r="E53"/>
  <c r="E69"/>
  <c r="F51"/>
  <c r="F52"/>
  <c r="F53"/>
  <c r="F55"/>
  <c r="F56"/>
  <c r="F57"/>
  <c r="F58"/>
  <c r="F59"/>
  <c r="F60"/>
  <c r="F61"/>
  <c r="F62"/>
  <c r="F63"/>
  <c r="F64"/>
  <c r="F65"/>
  <c r="F66"/>
  <c r="F68"/>
  <c r="F69"/>
  <c r="M25"/>
  <c r="N25"/>
  <c r="O25"/>
  <c r="R174" i="21"/>
  <c r="D17" i="20"/>
  <c r="E17"/>
  <c r="F17"/>
  <c r="M155" i="21"/>
  <c r="R156"/>
  <c r="M132"/>
  <c r="R133"/>
  <c r="M96"/>
  <c r="R97"/>
  <c r="R51"/>
  <c r="M4"/>
  <c r="R5"/>
  <c r="R175"/>
  <c r="R134"/>
  <c r="M97"/>
  <c r="R98"/>
  <c r="R52"/>
  <c r="M5"/>
  <c r="R6"/>
  <c r="R176"/>
  <c r="R158"/>
  <c r="R135"/>
  <c r="R99"/>
  <c r="R53"/>
  <c r="R7"/>
  <c r="R177"/>
  <c r="R159"/>
  <c r="R136"/>
  <c r="R100"/>
  <c r="R54"/>
  <c r="R8"/>
  <c r="R178"/>
  <c r="D18" i="20"/>
  <c r="E18"/>
  <c r="F18"/>
  <c r="R160" i="21"/>
  <c r="R137"/>
  <c r="R101"/>
  <c r="R55"/>
  <c r="R9"/>
  <c r="R179"/>
  <c r="D19" i="20"/>
  <c r="E19"/>
  <c r="F19"/>
  <c r="D20"/>
  <c r="E20"/>
  <c r="F20"/>
  <c r="D21"/>
  <c r="E21"/>
  <c r="F21"/>
  <c r="D22"/>
  <c r="E22"/>
  <c r="F22"/>
  <c r="R183" i="21"/>
  <c r="D23" i="20"/>
  <c r="E23"/>
  <c r="F23"/>
  <c r="R184" i="21"/>
  <c r="D24" i="20"/>
  <c r="E24"/>
  <c r="F24"/>
  <c r="R181" i="21"/>
  <c r="D25" i="20"/>
  <c r="E25"/>
  <c r="F25"/>
  <c r="R182" i="21"/>
  <c r="D26" i="20"/>
  <c r="E26"/>
  <c r="F26"/>
  <c r="R180" i="21"/>
  <c r="D27" i="20"/>
  <c r="E27"/>
  <c r="F27"/>
  <c r="F28"/>
  <c r="E28"/>
  <c r="S156" i="21"/>
  <c r="S133"/>
  <c r="S134"/>
  <c r="S135"/>
  <c r="S136"/>
  <c r="S137"/>
  <c r="S143"/>
  <c r="J24" i="22"/>
  <c r="J19"/>
  <c r="J20"/>
  <c r="J21"/>
  <c r="J27"/>
  <c r="E32" i="20"/>
  <c r="E30"/>
  <c r="E13"/>
  <c r="E14"/>
  <c r="E15"/>
  <c r="E33"/>
  <c r="F32"/>
  <c r="F30"/>
  <c r="F13"/>
  <c r="F14"/>
  <c r="F15"/>
  <c r="F33"/>
  <c r="E39"/>
  <c r="E40"/>
  <c r="E41"/>
  <c r="E37"/>
  <c r="E35"/>
  <c r="E42"/>
  <c r="F39"/>
  <c r="F40"/>
  <c r="F41"/>
  <c r="F37"/>
  <c r="F35"/>
  <c r="F42"/>
  <c r="M260" i="21"/>
  <c r="M193"/>
  <c r="M192"/>
  <c r="M2"/>
  <c r="M1"/>
  <c r="F44" i="20"/>
  <c r="E44"/>
  <c r="S279" i="21"/>
  <c r="S280"/>
  <c r="S281"/>
  <c r="S282"/>
  <c r="S278"/>
  <c r="S288"/>
  <c r="S175"/>
  <c r="S176"/>
  <c r="S177"/>
  <c r="S178"/>
  <c r="S179"/>
  <c r="S185"/>
  <c r="S261"/>
  <c r="S262"/>
  <c r="S263"/>
  <c r="S260"/>
  <c r="S232"/>
  <c r="S233"/>
  <c r="S234"/>
  <c r="S235"/>
  <c r="S231"/>
  <c r="S197"/>
  <c r="S198"/>
  <c r="S199"/>
  <c r="S200"/>
  <c r="S196"/>
  <c r="S269"/>
  <c r="S241"/>
  <c r="S206"/>
  <c r="S157"/>
  <c r="S160"/>
  <c r="S158"/>
  <c r="S159"/>
  <c r="S166"/>
  <c r="S97"/>
  <c r="S98"/>
  <c r="S99"/>
  <c r="S100"/>
  <c r="S101"/>
  <c r="S107"/>
  <c r="S51"/>
  <c r="S52"/>
  <c r="S53"/>
  <c r="S54"/>
  <c r="S55"/>
  <c r="S61"/>
  <c r="S5"/>
  <c r="S6"/>
  <c r="S7"/>
  <c r="S8"/>
  <c r="S9"/>
  <c r="S15"/>
  <c r="J180" i="13"/>
  <c r="G177"/>
  <c r="F167"/>
  <c r="F177"/>
  <c r="I180"/>
  <c r="G55"/>
  <c r="G59"/>
  <c r="G58"/>
  <c r="G57"/>
  <c r="G56"/>
  <c r="E12" i="5"/>
  <c r="E13"/>
  <c r="E14"/>
  <c r="E15"/>
  <c r="E8"/>
  <c r="E9"/>
  <c r="E10"/>
  <c r="E4"/>
  <c r="E5"/>
  <c r="E6"/>
  <c r="E16"/>
  <c r="C20"/>
  <c r="E20"/>
  <c r="D21"/>
  <c r="E21"/>
  <c r="D22"/>
  <c r="E22"/>
  <c r="D23"/>
  <c r="E23"/>
  <c r="E24"/>
  <c r="E25"/>
  <c r="E26"/>
  <c r="E28"/>
  <c r="E29"/>
  <c r="E30"/>
  <c r="E31"/>
  <c r="E32"/>
  <c r="E33"/>
  <c r="E35"/>
  <c r="E36"/>
  <c r="E37"/>
  <c r="E38"/>
  <c r="E40"/>
  <c r="E42"/>
  <c r="E43"/>
  <c r="E44"/>
  <c r="E45"/>
  <c r="E46"/>
  <c r="E47"/>
  <c r="F47"/>
  <c r="F46"/>
  <c r="F45"/>
  <c r="F44"/>
  <c r="F43"/>
  <c r="F42"/>
  <c r="F40"/>
  <c r="F38"/>
  <c r="F37"/>
  <c r="F36"/>
  <c r="F35"/>
  <c r="F33"/>
  <c r="F32"/>
  <c r="F31"/>
  <c r="F30"/>
  <c r="F29"/>
  <c r="F28"/>
  <c r="F26"/>
  <c r="F25"/>
  <c r="F24"/>
  <c r="F23"/>
  <c r="F22"/>
  <c r="F21"/>
  <c r="F20"/>
  <c r="E19"/>
  <c r="F19"/>
  <c r="E18"/>
  <c r="F18"/>
  <c r="F16"/>
  <c r="F15"/>
  <c r="F14"/>
  <c r="F13"/>
  <c r="F12"/>
  <c r="F10"/>
  <c r="F9"/>
  <c r="F8"/>
  <c r="F6"/>
  <c r="F5"/>
  <c r="F4"/>
  <c r="G54" i="13"/>
  <c r="G46"/>
  <c r="E5" i="2"/>
  <c r="F5"/>
  <c r="C7"/>
  <c r="E7"/>
  <c r="F7"/>
  <c r="C9"/>
  <c r="E9"/>
  <c r="F9"/>
  <c r="E11"/>
  <c r="F11"/>
  <c r="E14"/>
  <c r="F14"/>
  <c r="C16"/>
  <c r="E16"/>
  <c r="F16"/>
  <c r="E18"/>
  <c r="F18"/>
  <c r="E21"/>
  <c r="F21"/>
  <c r="E22"/>
  <c r="F22"/>
  <c r="E24"/>
  <c r="F24"/>
  <c r="E26"/>
  <c r="F26"/>
  <c r="E28"/>
  <c r="F28"/>
  <c r="F29"/>
  <c r="E29"/>
  <c r="G88" i="13"/>
  <c r="G87"/>
  <c r="G86"/>
  <c r="G51"/>
  <c r="G50"/>
  <c r="G49"/>
  <c r="G48"/>
  <c r="G47"/>
  <c r="G73"/>
  <c r="G72"/>
  <c r="G71"/>
  <c r="G70"/>
  <c r="G68"/>
  <c r="G67"/>
  <c r="G66"/>
  <c r="G64"/>
  <c r="G63"/>
  <c r="G62"/>
  <c r="E20" i="9"/>
  <c r="E18"/>
  <c r="E14"/>
  <c r="E15"/>
  <c r="E16"/>
  <c r="E11"/>
  <c r="E12"/>
  <c r="E8"/>
  <c r="E9"/>
  <c r="E4"/>
  <c r="E5"/>
  <c r="E6"/>
  <c r="E21"/>
  <c r="F21"/>
  <c r="F15"/>
  <c r="F16"/>
  <c r="F9"/>
  <c r="F8"/>
  <c r="F5"/>
  <c r="F6"/>
  <c r="F12"/>
  <c r="F4"/>
  <c r="E30" i="2"/>
  <c r="F30"/>
  <c r="F20" i="9"/>
  <c r="E31" i="2"/>
  <c r="E32"/>
  <c r="F31"/>
  <c r="F32"/>
  <c r="E22" i="9"/>
  <c r="E23"/>
  <c r="E24"/>
  <c r="F24"/>
  <c r="F23"/>
  <c r="F22"/>
  <c r="F18"/>
  <c r="F14"/>
  <c r="F11"/>
</calcChain>
</file>

<file path=xl/sharedStrings.xml><?xml version="1.0" encoding="utf-8"?>
<sst xmlns="http://schemas.openxmlformats.org/spreadsheetml/2006/main" count="1035" uniqueCount="371">
  <si>
    <t>Quantité</t>
  </si>
  <si>
    <t xml:space="preserve"> ml</t>
  </si>
  <si>
    <t>Description</t>
  </si>
  <si>
    <t>Unité</t>
  </si>
  <si>
    <t>Prix unitaire FDJ</t>
  </si>
  <si>
    <t>ml</t>
  </si>
  <si>
    <t xml:space="preserve">Extension de l'éclairage public </t>
  </si>
  <si>
    <t>Maîtrise d'œuvre technique et sociale (10%)</t>
  </si>
  <si>
    <t>en Euros</t>
  </si>
  <si>
    <t>Coût total</t>
  </si>
  <si>
    <t>en FDJ</t>
  </si>
  <si>
    <t>Armature principale-voies primaires</t>
  </si>
  <si>
    <t>Voies secondaires de desserte</t>
  </si>
  <si>
    <t>Divers et imprévus (15%)</t>
  </si>
  <si>
    <t>Bd Assamo (dit voie de 60)</t>
  </si>
  <si>
    <t>Liaison inter-quartier Hayableh-Layableh (rue16.015)</t>
  </si>
  <si>
    <t xml:space="preserve">Bd Gaggade - désenclavement du centre de santé de Moustiquaire </t>
  </si>
  <si>
    <t>m2</t>
  </si>
  <si>
    <t>Aménagement du site de réinstallation temporaire</t>
  </si>
  <si>
    <t>Voiries pavées 2x1 voies (11m) + bordures T4 + trottoir pavé</t>
  </si>
  <si>
    <t>Pavage des voies intérieures de circulation et drainage</t>
  </si>
  <si>
    <t>Construction des étals</t>
  </si>
  <si>
    <t>Construction des boutiques et boucherie</t>
  </si>
  <si>
    <t>Raccordement au réseau d'eau, électricité, éclairage public</t>
  </si>
  <si>
    <t>U</t>
  </si>
  <si>
    <t>1-Réhabilitation du marché de Hayableh</t>
  </si>
  <si>
    <t>Reconstruction du marché</t>
  </si>
  <si>
    <t>2-Construction de commerces de rue (Bd Assamo)</t>
  </si>
  <si>
    <t>Aménagement d'une plateforme</t>
  </si>
  <si>
    <t>Ss-total 1</t>
  </si>
  <si>
    <t>Ss-total 2</t>
  </si>
  <si>
    <t xml:space="preserve">revêtement d'un place en pavé </t>
  </si>
  <si>
    <t>construction gare et bureau</t>
  </si>
  <si>
    <t xml:space="preserve">mur d'enceinte </t>
  </si>
  <si>
    <t>Equipement sportif</t>
  </si>
  <si>
    <t>Equipement culturel</t>
  </si>
  <si>
    <t>Equipement socio-administratif</t>
  </si>
  <si>
    <t>Composante 1: Voirie-drainage</t>
  </si>
  <si>
    <t>TOTAL OPERATION</t>
  </si>
  <si>
    <t xml:space="preserve">TOTAL TRAVAUX </t>
  </si>
  <si>
    <t>Composante 4: Cadre de vie</t>
  </si>
  <si>
    <t>Aménagement des accès au marché</t>
  </si>
  <si>
    <t>Travaux de démolition des installations précaires du marché</t>
  </si>
  <si>
    <t>Aménagement de la station de bus, en partie à la place du CSC, et reprise des trottoirs</t>
  </si>
  <si>
    <t>Prolongement Bd Assamo vers route de PK12</t>
  </si>
  <si>
    <t>Voies revetues 2x1 (7m) + caniveaux maçonnés + éclairage 25m</t>
  </si>
  <si>
    <t>Rue de l'EPP Dogleh depuis Bd Assamo</t>
  </si>
  <si>
    <t>Rue Moustiquaire Nord</t>
  </si>
  <si>
    <t>Liaison Layableh - Moustiquaire entre bd Assamo et bd Gaggade, y compris aménagement du dalot de franchissement</t>
  </si>
  <si>
    <t>Voies revetues 2x1 (5m) + caniveaux maçonnés + éclairage public</t>
  </si>
  <si>
    <t>Voies tertiaires d'accès aux quartiers</t>
  </si>
  <si>
    <t>Voie tertiaire n°1 : liaison Layableh et Moustiquaire Nord</t>
  </si>
  <si>
    <t>Sentier et aménagement du franchissement piéton entre Layableh et Moustiquaire Nord</t>
  </si>
  <si>
    <t>Sentier et aménagement du franchissement piéton entre EPP et CEM Dogleh (ravine)</t>
  </si>
  <si>
    <t>Voie tertiaire n°3 : rue Moustiquaire Sud</t>
  </si>
  <si>
    <t>Stock de rues Moustiquaire Nord, autour du petit marché et de la Mosquée</t>
  </si>
  <si>
    <t>Voie pavée (5m)</t>
  </si>
  <si>
    <t>Sentier et aménagement du franchissement piéton</t>
  </si>
  <si>
    <t>Travaux de démolition du Centre de Santé de Hayableh</t>
  </si>
  <si>
    <t>Ss-total 3</t>
  </si>
  <si>
    <t>4-Aménagement d'une tete de ligne de minibus (hors zone)</t>
  </si>
  <si>
    <t>Aménagement d'un arrêt de bus bilatéral au croisement Bd. Assamo (5m x 50m) x2</t>
  </si>
  <si>
    <t>Aménagement d'un arrêt de bus bilatéral à Moustiquaire (5m x 50m) x2</t>
  </si>
  <si>
    <t>6-Aménagement arrêt de bus sur Av. Ougass Hassan avec rangées de boutiques</t>
  </si>
  <si>
    <t>5-Aménagement arrêt de bus sur Av. Ougass Hassan</t>
  </si>
  <si>
    <t>Rangée unilatéral de boutiques (40m x 3m)</t>
  </si>
  <si>
    <t>3-Construction d'une place à vivre dans Moustiquaire Nord</t>
  </si>
  <si>
    <t xml:space="preserve">Complément d'éclairage par candélabre solaire autonome </t>
  </si>
  <si>
    <t>Construction d'une quarantaine d'étals sous abris (2x2m)</t>
  </si>
  <si>
    <t>Construction d'une vingtaine de boutiques (2x5m)</t>
  </si>
  <si>
    <t>Pavage d'une place centrale</t>
  </si>
  <si>
    <t>Ss-total 4</t>
  </si>
  <si>
    <t>Aménagement de 6 plateformes (4000+1500+3500+1500+1200+2400)</t>
  </si>
  <si>
    <t>Bennes métalliques pour déchets 20m3</t>
  </si>
  <si>
    <t>Construction d'étals sous abris (2x2m) : environ 1/5 de la plateforme</t>
  </si>
  <si>
    <t>Construction de boutiques : environ 2/5 de la plateforme</t>
  </si>
  <si>
    <t>Pavage des voies intérieures de circulation : environ 2/5 de la plateforme</t>
  </si>
  <si>
    <t xml:space="preserve">Equipements scolaires </t>
  </si>
  <si>
    <t>Construction de l'EPP Layableh</t>
  </si>
  <si>
    <t>Construction d'une école maternelle dans Layableh - Nord</t>
  </si>
  <si>
    <t>Equipements sanitaires</t>
  </si>
  <si>
    <t>Construction du CSC Layableh adossé à une école maternelle</t>
  </si>
  <si>
    <t>Construction d'une bibliothèque</t>
  </si>
  <si>
    <t>Construction d'un CDC à R+1 dédié aux associations</t>
  </si>
  <si>
    <t>Centre de développement communautaire</t>
  </si>
  <si>
    <t>Plateau multisport</t>
  </si>
  <si>
    <t>Construction du CEM Moustiquaire (vace terrain multisport)</t>
  </si>
  <si>
    <t>Caserne de gendarmerie</t>
  </si>
  <si>
    <t>Travaux de reconstruction du CSC Hayableh sur parcelle un peu plus au Nord</t>
  </si>
  <si>
    <t>Terrain multisports adossé à EPP Hayableh</t>
  </si>
  <si>
    <t xml:space="preserve">Terrains sur Bd Assamo </t>
  </si>
  <si>
    <t>Terrain sur Av Ougass Hassan</t>
  </si>
  <si>
    <t>m3</t>
  </si>
  <si>
    <t>Composante 1 : Voirie-drainage</t>
  </si>
  <si>
    <t>Composante 2 : Equipements marchands</t>
  </si>
  <si>
    <t>1-Armature principale-voies primaires</t>
  </si>
  <si>
    <t>2-Voies secondaires de desserte</t>
  </si>
  <si>
    <t>3-Voies tertiaires d'accès aux quartiers</t>
  </si>
  <si>
    <t xml:space="preserve">1-Equipements scolaires </t>
  </si>
  <si>
    <t>2-Equipements sanitaires</t>
  </si>
  <si>
    <t>3-Centre de développement communautaire</t>
  </si>
  <si>
    <t>4-Equipements sportifs</t>
  </si>
  <si>
    <t>Aménagement de contre-allée de 3m emprise (revetement PAB) pour le tronçon Nord</t>
  </si>
  <si>
    <t>Aménagement de contre-allée de 3m emprise (revetement PAB) pour le tronçon Sud (en fonction des aménagements prévus)</t>
  </si>
  <si>
    <t>Total investissements matériels</t>
  </si>
  <si>
    <t>Composante 2 : Equipements marchands et de transport</t>
  </si>
  <si>
    <t>2-Construction de commerces de rue (Bd Assamo Nord)</t>
  </si>
  <si>
    <t>Ss-total 5</t>
  </si>
  <si>
    <t>1 Eur = 200 FDJ</t>
  </si>
  <si>
    <t>Interventions immatérielles prévues</t>
  </si>
  <si>
    <t>Volet 1 : Mise en œuvre des investissements prioritaires</t>
  </si>
  <si>
    <t>Maitrise d'œuvre complète (APS-APD-DAO-Suivi de travaux-Appui à la réception des travaux) = 10% des travaux</t>
  </si>
  <si>
    <t>--</t>
  </si>
  <si>
    <t>Rémunération de l'ADDS sur la mise en œuvre du PIP = 8% des travaux</t>
  </si>
  <si>
    <t>FF</t>
  </si>
  <si>
    <t>h/mois</t>
  </si>
  <si>
    <t>Volet 3 : Renforcement Institutionnel</t>
  </si>
  <si>
    <t>Elaboration du Plan d'Urbanisme de Détails après APS-APD des ouvrages et des équipements : définition du parcellaire et des trames de desserte, implantation cadastrale et relevés topographiques des bornes, définition des régles d'urbanisme applicable et opposable aux tiers pour délivrance des autorisations</t>
  </si>
  <si>
    <t>Divers</t>
  </si>
  <si>
    <t>Suivi-évaluation des impacts</t>
  </si>
  <si>
    <t>TOTAL INTERVENTIONS IMMATERIELLES</t>
  </si>
  <si>
    <t>Alimentation du Fonds de Développement Communautaire (montant à adapter en fonction des paramètres du PIP)</t>
  </si>
  <si>
    <t>Recrutement d'une MOS sous la forme d'un opérateur-facilitateur local : médiation sociale, appui à la formulation des projets associatifs, suivi des activités, renforcement des associations (attente identification mission + durée + calendrier intervention)</t>
  </si>
  <si>
    <t>Provision pour renforcement DHU en marge de l'élaboration du Plan d'Urbanisme de Détails (géodésie, relevé topographique avec station totale, SIG, formation aux règles d'arpentage)</t>
  </si>
  <si>
    <t>PU en Euros</t>
  </si>
  <si>
    <t>Qté</t>
  </si>
  <si>
    <t>Coût en FDJ</t>
  </si>
  <si>
    <t>Coût en Euros</t>
  </si>
  <si>
    <t>TOTAL TRANCHE FERME</t>
  </si>
  <si>
    <t>Aménagement des locaux de la Brigade de Gendarmerie</t>
  </si>
  <si>
    <t>5-Equipement socio-administratif</t>
  </si>
  <si>
    <t>Ss-total 6</t>
  </si>
  <si>
    <t>Bd Assamo (dit voie de 60) qui se rabat vers le Bd Mouhoulé</t>
  </si>
  <si>
    <t>Construction du CSC Layableh comprenant salle d'accouchement</t>
  </si>
  <si>
    <t xml:space="preserve">Terrains multiples usages (multisport, foot, pétanque) sur Bd Assamo </t>
  </si>
  <si>
    <t>Aménagement d'un arrêt de bus bilatéral au croisement Bd. Assamo (20m x 45m x2)</t>
  </si>
  <si>
    <t>Aménagement de contre-allée de 3m emprise
(revetement PAB) pour le tronçon Nord</t>
  </si>
  <si>
    <t>3-Aménagement arrêt de bus sur Av. Ougass Hassan</t>
  </si>
  <si>
    <t>Construction de l'EPP Layableh proche d'une ravine</t>
  </si>
  <si>
    <t>2-Construction de commerces de rue (Bd Assamo Sud)</t>
  </si>
  <si>
    <t>3-Equipements sportifs</t>
  </si>
  <si>
    <t>Terrains multiples usages (multisport, foot, pétanque) proche de EPP Balbala</t>
  </si>
  <si>
    <t>Tronçon Nord</t>
  </si>
  <si>
    <t>Espace marchand 1 = 20m x 100m</t>
  </si>
  <si>
    <t>Espace marchand 2 = 20m x 100m</t>
  </si>
  <si>
    <t>Espace marchand 3 = 20m x 75m</t>
  </si>
  <si>
    <t>G</t>
  </si>
  <si>
    <t>Plateforme 10m x 20m pour entreproser bennes 20m3</t>
  </si>
  <si>
    <t>LT</t>
  </si>
  <si>
    <t>Espace marchand 3 = 20m x 45m</t>
  </si>
  <si>
    <t>Espace marchand 5 = 20m x 75m</t>
  </si>
  <si>
    <t>Tronçon Sud</t>
  </si>
  <si>
    <t>Espace marchand 1 = 20m x 75m</t>
  </si>
  <si>
    <t>boutiques (2,5m x 2,5m)</t>
  </si>
  <si>
    <t>espaces étals (2m x 2,5m)</t>
  </si>
  <si>
    <t>Espace marchand 2 = 20m x 60m</t>
  </si>
  <si>
    <t>Surface plateforme</t>
  </si>
  <si>
    <t>Surface boutiques</t>
  </si>
  <si>
    <t>Surface locaux divers (G+LT)</t>
  </si>
  <si>
    <t>Surface espaces étals</t>
  </si>
  <si>
    <t>Portails</t>
  </si>
  <si>
    <t>Surface plateforme Déchets</t>
  </si>
  <si>
    <t>A</t>
  </si>
  <si>
    <t>B</t>
  </si>
  <si>
    <t>C</t>
  </si>
  <si>
    <t>D</t>
  </si>
  <si>
    <t>E</t>
  </si>
  <si>
    <t>F</t>
  </si>
  <si>
    <t>Surface Pavage (A-(B+C+D+E))</t>
  </si>
  <si>
    <t>Surface Pavage (A-(B+C+D+))</t>
  </si>
  <si>
    <t>Total Tronçon Nord</t>
  </si>
  <si>
    <t>Construction de boutiques : environ 18% de toutes les plateformes</t>
  </si>
  <si>
    <t>Construction des locaux techniques : environ 4% de toutes les plateformes</t>
  </si>
  <si>
    <t>Construction d'étals sous abris (2x2m) : environ 8% de toutes les plateformes</t>
  </si>
  <si>
    <t>Total Tronçon Sud</t>
  </si>
  <si>
    <t>TOTAL TRAVAUX  TRANCHE FERME</t>
  </si>
  <si>
    <t>TOTAL TRAVAUX  TRANCHE CONDITIONNELLE</t>
  </si>
  <si>
    <t>Pavage d'une place centrale sur lit de sable</t>
  </si>
  <si>
    <t>1 plateforme de 4 terrains de pétanque</t>
  </si>
  <si>
    <t>Construction d'une rangée de 20 d'étals sous abris (2x2m) - 2 x 10 étals</t>
  </si>
  <si>
    <t>Complément d'éclairage par candélabre solaire autonome
(4 sur le marché, 4 sur le terrain de pétanque)</t>
  </si>
  <si>
    <t>4-Construction d'une place à vivre dans Moustiquaire Nord (2'000 m2)</t>
  </si>
  <si>
    <t>Construction de 2 rangées de boutiques avec 2 orientations (2,5 x 2x5m)
32 boutiques en tout (2x8x2)</t>
  </si>
  <si>
    <t>Voie pavée (5m). HIMO. Y compris bordure</t>
  </si>
  <si>
    <t>Rue Moustiquaire Nord en axe Est - Ouest (prévision extension vers Layableh - Hayableh)</t>
  </si>
  <si>
    <t>Stock de 10 candelabres autonomes pour rues</t>
  </si>
  <si>
    <t>Conditonné par libération emprise par SEL</t>
  </si>
  <si>
    <t>Aménagement du dalot</t>
  </si>
  <si>
    <t>=</t>
  </si>
  <si>
    <t>x</t>
  </si>
  <si>
    <t>Surface étals (2x2m)</t>
  </si>
  <si>
    <t>Surface boutiques (2,5x2,5m)</t>
  </si>
  <si>
    <t>Surface plateforme de terrains de pétanque (15x40m)</t>
  </si>
  <si>
    <t>Surface totale de l'emprise (50 x 40m)</t>
  </si>
  <si>
    <t>Surface à pavé</t>
  </si>
  <si>
    <t>Aménagement d'une zone avec 4 terrains de pétanque sur 600 m2 (40x15m)</t>
  </si>
  <si>
    <t>Aménagement des plateformes sous construction boutique et étals</t>
  </si>
  <si>
    <t>Terrassement par remblais (50cm)</t>
  </si>
  <si>
    <t>Remblai sur 50cm</t>
  </si>
  <si>
    <t>Pavage des ruelles piétonne à l'intérieur des structures (sur lit de sable)</t>
  </si>
  <si>
    <t>Portails coulissants sur rail 10m</t>
  </si>
  <si>
    <t>Branchement AEP ONEAD pour ensemble de la plateforme</t>
  </si>
  <si>
    <t>Branchement AEP EDD pour ensemble de la plateforme</t>
  </si>
  <si>
    <t>Aménagement des plateformes sous construction
de boutiques, étals, locaux et déchets</t>
  </si>
  <si>
    <t>H</t>
  </si>
  <si>
    <t>I</t>
  </si>
  <si>
    <t>J</t>
  </si>
  <si>
    <t>Raccordement AEP</t>
  </si>
  <si>
    <t>Raccordement EDD</t>
  </si>
  <si>
    <t>Candelabres solaires</t>
  </si>
  <si>
    <t>K</t>
  </si>
  <si>
    <t>Bennes 20 m3 enlevable par camion OVD</t>
  </si>
  <si>
    <t>Indicatif car modulable</t>
  </si>
  <si>
    <t>Aménager le secteur Nord de Moustiquaire et améliorer l'accessibilité de la zone depuis l'av. O. Hassan
Aménager la place proche de la Mosquée pour y faire une place à vivre avec petites boutiques et terrains de pétanque (zone prévue pour petit marché)
Améliorer l'accès à l'intérieur du quartier en proposant l'aménagement de voirie pavée équipée de candelabres (réseau EDD existant) 
Améliorer l'accès du CSC existant et du centre de gestion de déchets en cours d'aménagement
Renforcer la sécurité en dotant les voies de l'éclairage public (réseau EDD existant) et en aménageant une brigade de Gendarmerie (terrain à disposition)</t>
  </si>
  <si>
    <t>TOTAL BANDE EQUIPEMENT BD ASSAMO</t>
  </si>
  <si>
    <t>TOTAL EQUIPEMENTS SOCIAUX SUR DENTS CREUSES</t>
  </si>
  <si>
    <t>TRANCHE CONDITIONNELLE : PROLOGEMENT TRONCON SUD
VERS ROUTE DE PK12</t>
  </si>
  <si>
    <t>TRANCHE CONDITIONNELLE : CRÉER LA LIAISON MOUSTIQUAIRE-LAYABLEH</t>
  </si>
  <si>
    <t>Aménagement de contre-allée de 3m emprise (revetement PAB) jusqu'au niveau de l'EPP Balbala</t>
  </si>
  <si>
    <t>Intervenir sur le secteur de Layableh en proposant l'aménagement de l'épine dorsale du bd Assamo (notion d'insertion urbaine sur un boulevard de 40m d'emprise)
Construire des équipements marchands, de transport urbain (sur av. Hassan) et de sport/loisir
Amélioration l'accès en proposant le revetement de la voirie principale (7m) et la connexion vers l'av Mouhoulé</t>
  </si>
  <si>
    <t>8 à 10 m2 pour 100 habitants</t>
  </si>
  <si>
    <t>Projet d'aménagement 1 : Amélioration de l'accessibilité
et du cadre de vie de Layableh</t>
  </si>
  <si>
    <t>Projet d'aménagement 2 : Amélioration de l'accessibilité
de la zone de Moustiquaire (infrastructures)</t>
  </si>
  <si>
    <t>Gardien</t>
  </si>
  <si>
    <t>Local Tech</t>
  </si>
  <si>
    <t>Composante 3 : Equipements de proximité</t>
  </si>
  <si>
    <t>Composante 4 :  Cadre de vie</t>
  </si>
  <si>
    <t>Volet 2 : Fonds de Développement Communautaire et appui à la formation</t>
  </si>
  <si>
    <t>action d'appui à la formation pour la gestion des services publics dans le quartier (précollectes des déchets, gestion du marché, maintenance candélabres solaires, aide aux branchements sociaux pour l'AEP)</t>
  </si>
  <si>
    <t>3m</t>
  </si>
  <si>
    <t>largeur 21 m</t>
  </si>
  <si>
    <t>toilettes publiques</t>
  </si>
  <si>
    <t>espaces bennes déchets</t>
  </si>
  <si>
    <t>longueur espace clôturé</t>
  </si>
  <si>
    <t xml:space="preserve">largeur </t>
  </si>
  <si>
    <t>surface</t>
  </si>
  <si>
    <t>longueur</t>
  </si>
  <si>
    <t>m</t>
  </si>
  <si>
    <t>Local tech</t>
  </si>
  <si>
    <t>possibilité d'installer 126 étals</t>
  </si>
  <si>
    <t>halle couverte de 21x30=630 m2</t>
  </si>
  <si>
    <t>Espace boutiques clôturé de 92 boutiques</t>
  </si>
  <si>
    <t>Bureau</t>
  </si>
  <si>
    <t>loge gardien</t>
  </si>
  <si>
    <t>emprise totale plateforme</t>
  </si>
  <si>
    <t>surfaces boutiques</t>
  </si>
  <si>
    <t>surfaces étals</t>
  </si>
  <si>
    <t xml:space="preserve">coût </t>
  </si>
  <si>
    <t>prix unitaire</t>
  </si>
  <si>
    <t>unités</t>
  </si>
  <si>
    <t>halle couverte</t>
  </si>
  <si>
    <t>quantité</t>
  </si>
  <si>
    <t>boutiques avec rideau métallique</t>
  </si>
  <si>
    <t>clôtures ferronnerie</t>
  </si>
  <si>
    <t xml:space="preserve">éclairage </t>
  </si>
  <si>
    <t>Eclairage</t>
  </si>
  <si>
    <t>Bennes</t>
  </si>
  <si>
    <t>total</t>
  </si>
  <si>
    <t>points d'eau</t>
  </si>
  <si>
    <t>surface de vente/surface totale</t>
  </si>
  <si>
    <t>en  Euros</t>
  </si>
  <si>
    <t>Toilettes</t>
  </si>
  <si>
    <t>Sentier et aménagement du franchissement piéton des oueds</t>
  </si>
  <si>
    <t>aménagement de la plateforme</t>
  </si>
  <si>
    <t>pavage de la pateforme</t>
  </si>
  <si>
    <t>nbre boutiques</t>
  </si>
  <si>
    <t>nbre d'étals</t>
  </si>
  <si>
    <t>Voie tertiaire n°2 : rue Moustiquaire Sud</t>
  </si>
  <si>
    <t>Provision pour branchements sociaux</t>
  </si>
  <si>
    <t xml:space="preserve">Voies revetues 2x1 (7m) + caniveaux maçonnés </t>
  </si>
  <si>
    <t>Voies revetues 2x1 (7m) + caniveaux maçonnés</t>
  </si>
  <si>
    <t>Voies revetues 2x1 (6m) + caniveaux maçonnés</t>
  </si>
  <si>
    <t>Bd Assamo (tous les 25m y compris sur les contre allées)</t>
  </si>
  <si>
    <t>Voie tertiaire n°1 : Moustiquaire Nord (tous les 33 m)</t>
  </si>
  <si>
    <t>Bd Gaggade (tous les 25 m)</t>
  </si>
  <si>
    <t>Stock de rues Moustiquaire Nord, autour du petit marché et de la Mosquée (33 m)</t>
  </si>
  <si>
    <t>Aménagement de auvents</t>
  </si>
  <si>
    <t>Ss-total 7</t>
  </si>
  <si>
    <t>Construction de boutiques : environ 20% de la plateforme</t>
  </si>
  <si>
    <t>Construction d'étals sous abris (2x2m) : environ 15% de la plateforme</t>
  </si>
  <si>
    <t>Aménagement d'une plateforme pavée</t>
  </si>
  <si>
    <t>Dalot routier de 8 m de large avec deux trottoirs latéraux de 1 m</t>
  </si>
  <si>
    <t>Dalot routier de 7 m de large avec deux trottoirs latéraux de 1 m</t>
  </si>
  <si>
    <t xml:space="preserve">Voies revetues (5m) </t>
  </si>
  <si>
    <t>Liaison Moustiquaire Sud - Layableh (33m)</t>
  </si>
  <si>
    <t>Liaison Mouhoulé-Gaggadé (tous les 33 m)</t>
  </si>
  <si>
    <t>Rue de l'EPP Dogleh depuis Bd Mouhoulé (tous les 33 m)</t>
  </si>
  <si>
    <t>Prolongement Bd Assamo vers route de Tadjourah (tous les 25 m)</t>
  </si>
  <si>
    <t>Prolongation nord du Bd Assamo (tous les 25 m)</t>
  </si>
  <si>
    <t>liaison marché Hayableh-Bd Mouhoulé (tous les 25m)</t>
  </si>
  <si>
    <t>Prolongement Bd Asamo de la route de Tadjourah vers route PK12 (tous les 25 m)</t>
  </si>
  <si>
    <t>Route de Tadjourah vers Bd Assamo (tous les 33 m)</t>
  </si>
  <si>
    <t>Voie tertiaire n°3 : Liaison Moustiquaire Nord-Bd Assamo (33m)</t>
  </si>
  <si>
    <t>Tronçon Bd Assamo Sud</t>
  </si>
  <si>
    <t>Terrains multisports adossés à EPP Hayableh</t>
  </si>
  <si>
    <t>Tronçon Bd Assamo Extrême Nord</t>
  </si>
  <si>
    <t>Tronçon Bd Assamo Nord</t>
  </si>
  <si>
    <t>Tronçon Bd Assamo Extrême Sud</t>
  </si>
  <si>
    <t>2 blocs</t>
  </si>
  <si>
    <t>1 - 20 x 75m</t>
  </si>
  <si>
    <t>2 - 20 x 100m</t>
  </si>
  <si>
    <t>Aménagement d'une plateforme pavée de 3'500m2</t>
  </si>
  <si>
    <t>Aménagement d'une plateforme pavée de 3500 m2</t>
  </si>
  <si>
    <t>1.1-Armature principale-voies primaires</t>
  </si>
  <si>
    <t xml:space="preserve">1.1.A: Liaison bd Mouhoulé-Bd Gaggadé </t>
  </si>
  <si>
    <t>1.1.B: Prolongement Bd Assamo vers route de Tadjourah</t>
  </si>
  <si>
    <t xml:space="preserve">1.1.C: Bd Gaggade - désenclavement du centre de santé de Moustiquaire </t>
  </si>
  <si>
    <t>1.1.D: liaison marché Hayableh-Bd Mouhoulé (partie de la rue16.015)</t>
  </si>
  <si>
    <t>1.1.E: Prolongement Bd Asamo de la route de Tadjourah vers route de PK12</t>
  </si>
  <si>
    <t>1.2-Voies secondaires de desserte</t>
  </si>
  <si>
    <t xml:space="preserve">1.2.A: Bd Assamo (dit voie de 60) </t>
  </si>
  <si>
    <t>1.3-Voies tertiaires d'accès aux quartiers</t>
  </si>
  <si>
    <r>
      <rPr>
        <b/>
        <sz val="12"/>
        <color theme="1" tint="4.9989318521683403E-2"/>
        <rFont val="TradeGothic"/>
      </rPr>
      <t>1.3.A</t>
    </r>
    <r>
      <rPr>
        <sz val="12"/>
        <color theme="1" tint="4.9989318521683403E-2"/>
        <rFont val="TradeGothic"/>
      </rPr>
      <t>: franchissement piéton de l'oued entre Moustiquaire Nord et Layableh</t>
    </r>
  </si>
  <si>
    <r>
      <rPr>
        <b/>
        <sz val="12"/>
        <color theme="1" tint="4.9989318521683403E-2"/>
        <rFont val="TradeGothic"/>
      </rPr>
      <t>1.3.B:</t>
    </r>
    <r>
      <rPr>
        <sz val="12"/>
        <color theme="1" tint="4.9989318521683403E-2"/>
        <rFont val="TradeGothic"/>
      </rPr>
      <t xml:space="preserve"> franchissement piéton de l'oued entre EPP et CEM Dogleh</t>
    </r>
  </si>
  <si>
    <t>2.1-Construction de commerces de rue (Bd Assamo Nord) en TF</t>
  </si>
  <si>
    <t>2.2-Construction de commerces de rue (Bd Assamo Sud)</t>
  </si>
  <si>
    <t>2.3-Réhabilitation du marché de Hayableh</t>
  </si>
  <si>
    <t>2.4-Construction d'une place à vivre dans Moustiquaire Nord</t>
  </si>
  <si>
    <t>2.5-Aménagement arrêt de bus sur Av. Ougass Hassan</t>
  </si>
  <si>
    <t>2.6-Aménagement d'une tete de ligne de minibus (hors zone)</t>
  </si>
  <si>
    <t>2.7-Aménagement arrêt de bus sur Av. Ougass Hassan avec rangées de boutiques</t>
  </si>
  <si>
    <r>
      <rPr>
        <b/>
        <sz val="12"/>
        <color theme="1" tint="4.9989318521683403E-2"/>
        <rFont val="TradeGothic"/>
      </rPr>
      <t>3.1</t>
    </r>
    <r>
      <rPr>
        <sz val="12"/>
        <color theme="1" tint="4.9989318521683403E-2"/>
        <rFont val="TradeGothic"/>
      </rPr>
      <t>: Construction de l'EPP Layableh</t>
    </r>
  </si>
  <si>
    <r>
      <rPr>
        <b/>
        <sz val="12"/>
        <color theme="1" tint="4.9989318521683403E-2"/>
        <rFont val="TradeGothic"/>
      </rPr>
      <t>3.3</t>
    </r>
    <r>
      <rPr>
        <sz val="12"/>
        <color theme="1" tint="4.9989318521683403E-2"/>
        <rFont val="TradeGothic"/>
      </rPr>
      <t>: Construction du CSC Layableh avec maternité</t>
    </r>
  </si>
  <si>
    <r>
      <rPr>
        <b/>
        <sz val="12"/>
        <color theme="1" tint="4.9989318521683403E-2"/>
        <rFont val="TradeGothic"/>
      </rPr>
      <t>3.4</t>
    </r>
    <r>
      <rPr>
        <sz val="12"/>
        <color theme="1" tint="4.9989318521683403E-2"/>
        <rFont val="TradeGothic"/>
      </rPr>
      <t>: Travaux de reconstruction du CSC Hayableh sur parcelle un peu plus au Nord</t>
    </r>
  </si>
  <si>
    <r>
      <rPr>
        <b/>
        <sz val="12"/>
        <color theme="1" tint="4.9989318521683403E-2"/>
        <rFont val="TradeGothic"/>
      </rPr>
      <t>3.5:</t>
    </r>
    <r>
      <rPr>
        <sz val="12"/>
        <color theme="1" tint="4.9989318521683403E-2"/>
        <rFont val="TradeGothic"/>
      </rPr>
      <t xml:space="preserve"> Brigade de gendarmerie à l'intérieur de la caserne prévue à cet effet </t>
    </r>
  </si>
  <si>
    <t xml:space="preserve">Candélabres solaires autonomes </t>
  </si>
  <si>
    <t>3.6: Eclairage public le long des voies (candélabres raccordés au réseau EDD)</t>
  </si>
  <si>
    <r>
      <rPr>
        <b/>
        <sz val="12"/>
        <color theme="1" tint="4.9989318521683403E-2"/>
        <rFont val="TradeGothic"/>
      </rPr>
      <t>3.7</t>
    </r>
    <r>
      <rPr>
        <sz val="12"/>
        <color theme="1" tint="4.9989318521683403E-2"/>
        <rFont val="TradeGothic"/>
      </rPr>
      <t>: Candélabres à répartir dans le secteur (TF)</t>
    </r>
  </si>
  <si>
    <r>
      <rPr>
        <b/>
        <sz val="12"/>
        <color theme="1" tint="4.9989318521683403E-2"/>
        <rFont val="TradeGothic"/>
      </rPr>
      <t>3.7bis</t>
    </r>
    <r>
      <rPr>
        <sz val="12"/>
        <color theme="1" tint="4.9989318521683403E-2"/>
        <rFont val="TradeGothic"/>
      </rPr>
      <t>: Candélabres à répartir dans le secteur (TC)</t>
    </r>
  </si>
  <si>
    <t>Prolongation d'AEP et branchements sociaux</t>
  </si>
  <si>
    <r>
      <rPr>
        <b/>
        <sz val="12"/>
        <color theme="1" tint="4.9989318521683403E-2"/>
        <rFont val="TradeGothic"/>
      </rPr>
      <t>3.8</t>
    </r>
    <r>
      <rPr>
        <sz val="12"/>
        <color theme="1" tint="4.9989318521683403E-2"/>
        <rFont val="TradeGothic"/>
      </rPr>
      <t>: Extension du réseau ONEAD (TF)</t>
    </r>
  </si>
  <si>
    <r>
      <rPr>
        <b/>
        <sz val="12"/>
        <color theme="1" tint="4.9989318521683403E-2"/>
        <rFont val="TradeGothic"/>
      </rPr>
      <t>3.8bis</t>
    </r>
    <r>
      <rPr>
        <sz val="12"/>
        <color theme="1" tint="4.9989318521683403E-2"/>
        <rFont val="TradeGothic"/>
      </rPr>
      <t>: Extension du réseau ONEAD (TC)</t>
    </r>
  </si>
  <si>
    <r>
      <rPr>
        <b/>
        <sz val="12"/>
        <color theme="1" tint="4.9989318521683403E-2"/>
        <rFont val="TradeGothic"/>
      </rPr>
      <t>3.2</t>
    </r>
    <r>
      <rPr>
        <sz val="12"/>
        <color theme="1" tint="4.9989318521683403E-2"/>
        <rFont val="TradeGothic"/>
      </rPr>
      <t>: Construction du CEM Moustiquaire (avec terrain multisport)</t>
    </r>
  </si>
  <si>
    <t>4.2: Equipements sportifs et de détente</t>
  </si>
  <si>
    <r>
      <rPr>
        <b/>
        <sz val="12"/>
        <color theme="1" tint="4.9989318521683403E-2"/>
        <rFont val="TradeGothic"/>
      </rPr>
      <t>4.2.A</t>
    </r>
    <r>
      <rPr>
        <sz val="12"/>
        <color theme="1" tint="4.9989318521683403E-2"/>
        <rFont val="TradeGothic"/>
      </rPr>
      <t>: 2 terrains de foot (40 x 20m - taille adaptée)</t>
    </r>
  </si>
  <si>
    <r>
      <rPr>
        <b/>
        <sz val="12"/>
        <color theme="1" tint="4.9989318521683403E-2"/>
        <rFont val="TradeGothic"/>
      </rPr>
      <t>4.2.B</t>
    </r>
    <r>
      <rPr>
        <sz val="12"/>
        <color theme="1" tint="4.9989318521683403E-2"/>
        <rFont val="TradeGothic"/>
      </rPr>
      <t>: 2 plateaux multisports (40 x 20m - sur base terrain de hand avec équipement basket)</t>
    </r>
  </si>
  <si>
    <r>
      <rPr>
        <b/>
        <sz val="12"/>
        <color theme="1" tint="4.9989318521683403E-2"/>
        <rFont val="TradeGothic"/>
      </rPr>
      <t>4.2.C</t>
    </r>
    <r>
      <rPr>
        <sz val="12"/>
        <color theme="1" tint="4.9989318521683403E-2"/>
        <rFont val="TradeGothic"/>
      </rPr>
      <t>: 2 plateformes de 2 terrains de pétanque (15 x 20m)</t>
    </r>
  </si>
  <si>
    <r>
      <rPr>
        <b/>
        <sz val="12"/>
        <color theme="1" tint="4.9989318521683403E-2"/>
        <rFont val="TradeGothic"/>
      </rPr>
      <t>4.2.D</t>
    </r>
    <r>
      <rPr>
        <sz val="12"/>
        <color theme="1" tint="4.9989318521683403E-2"/>
        <rFont val="TradeGothic"/>
      </rPr>
      <t>: 1 aménagement d'aire de jeux pour les tout-petits (20 x 20m)</t>
    </r>
  </si>
  <si>
    <r>
      <rPr>
        <b/>
        <sz val="12"/>
        <color theme="1" tint="4.9989318521683403E-2"/>
        <rFont val="TradeGothic"/>
      </rPr>
      <t>4.2.E</t>
    </r>
    <r>
      <rPr>
        <sz val="12"/>
        <color theme="1" tint="4.9989318521683403E-2"/>
        <rFont val="TradeGothic"/>
      </rPr>
      <t>: 1 aménagement d'une aire de détente (pergolas, plantations en bacs) 25 x 15m</t>
    </r>
  </si>
  <si>
    <t>4.1: Centre de développement communautaire</t>
  </si>
  <si>
    <r>
      <rPr>
        <sz val="12"/>
        <color theme="1" tint="4.9989318521683403E-2"/>
        <rFont val="TradeGothic"/>
      </rPr>
      <t>Construction d'un CDC à R+1 dédié aux associations</t>
    </r>
  </si>
  <si>
    <r>
      <rPr>
        <b/>
        <sz val="12"/>
        <color theme="1" tint="4.9989318521683403E-2"/>
        <rFont val="TradeGothic"/>
      </rPr>
      <t>4.2.F:</t>
    </r>
    <r>
      <rPr>
        <sz val="12"/>
        <color theme="1" tint="4.9989318521683403E-2"/>
        <rFont val="TradeGothic"/>
      </rPr>
      <t xml:space="preserve"> 1 plateforme de 2 terrains de pétanque (15 x 20m)</t>
    </r>
  </si>
  <si>
    <r>
      <rPr>
        <b/>
        <sz val="12"/>
        <color theme="1" tint="4.9989318521683403E-2"/>
        <rFont val="TradeGothic"/>
      </rPr>
      <t>4.2.G</t>
    </r>
    <r>
      <rPr>
        <sz val="12"/>
        <color theme="1" tint="4.9989318521683403E-2"/>
        <rFont val="TradeGothic"/>
      </rPr>
      <t>: 1 aménagement d'une aire de détente (pergolas, plantations en bacs) 25 x 15m</t>
    </r>
  </si>
  <si>
    <r>
      <rPr>
        <b/>
        <sz val="12"/>
        <color theme="1" tint="4.9989318521683403E-2"/>
        <rFont val="TradeGothic"/>
      </rPr>
      <t>4.2.H</t>
    </r>
    <r>
      <rPr>
        <sz val="12"/>
        <color theme="1" tint="4.9989318521683403E-2"/>
        <rFont val="TradeGothic"/>
      </rPr>
      <t>: 1 terrains de foot (40 x 20m - taille adaptée)</t>
    </r>
  </si>
  <si>
    <r>
      <rPr>
        <b/>
        <sz val="12"/>
        <color theme="1" tint="4.9989318521683403E-2"/>
        <rFont val="TradeGothic"/>
      </rPr>
      <t>4.2.I</t>
    </r>
    <r>
      <rPr>
        <sz val="12"/>
        <color theme="1" tint="4.9989318521683403E-2"/>
        <rFont val="TradeGothic"/>
      </rPr>
      <t>: 2 plateaux multisports (40 x 20m - sur base terrain de hand avec équipement basket)</t>
    </r>
  </si>
  <si>
    <t>4.2.J: 1 plateformes de 2 terrains de pétanque (15 x 20m)</t>
  </si>
  <si>
    <r>
      <rPr>
        <b/>
        <sz val="12"/>
        <color theme="1" tint="4.9989318521683403E-2"/>
        <rFont val="TradeGothic"/>
      </rPr>
      <t>4.2.K</t>
    </r>
    <r>
      <rPr>
        <sz val="12"/>
        <color theme="1" tint="4.9989318521683403E-2"/>
        <rFont val="TradeGothic"/>
      </rPr>
      <t>: 1 aménagement d'aire de jeux pour les tout-petits (20 x 20m)</t>
    </r>
  </si>
  <si>
    <t>4.3: Equipement culturel</t>
  </si>
  <si>
    <r>
      <rPr>
        <sz val="12"/>
        <color theme="1" tint="4.9989318521683403E-2"/>
        <rFont val="TradeGothic"/>
      </rPr>
      <t>Construction d'une bibliothèque</t>
    </r>
  </si>
  <si>
    <t>Imprévus (10% de tout le total sauf alimentation du FDC)</t>
  </si>
  <si>
    <r>
      <t xml:space="preserve">Dépenses immatérielles
Tranche ferme (en </t>
    </r>
    <r>
      <rPr>
        <b/>
        <sz val="12"/>
        <color theme="0"/>
        <rFont val="Arial Bold"/>
      </rPr>
      <t>€)</t>
    </r>
  </si>
  <si>
    <t>1.2.B: Route de Tadjourah vers Bd Assamo</t>
  </si>
  <si>
    <t>1.3.C: Prolongation nord du Bd Assamo (desserte de la bande de relogement)</t>
  </si>
  <si>
    <t>1.3.D: Voie tertiaire n°1 : liaison Layableh et Moustiquaire Nord</t>
  </si>
  <si>
    <t>1.3.E: Voie tertiaire n°2 : rue Moustiquaire Sud</t>
  </si>
  <si>
    <t>1.3.F: Rue de l'EPP Dogleh depuis Bd Assamo</t>
  </si>
  <si>
    <r>
      <rPr>
        <b/>
        <sz val="12"/>
        <color theme="1" tint="4.9989318521683403E-2"/>
        <rFont val="TradeGothic"/>
      </rPr>
      <t>1.3.G</t>
    </r>
    <r>
      <rPr>
        <sz val="12"/>
        <color theme="1" tint="4.9989318521683403E-2"/>
        <rFont val="TradeGothic"/>
      </rPr>
      <t>: franchissement piéton de l'oued entre Moustiquaire Sud et Layableh (au niveau de l'EPP)</t>
    </r>
  </si>
  <si>
    <t>1.3.H: Stock de rues Moustiquaire Nord, autour du petit marché et de la Mosquée</t>
  </si>
  <si>
    <t xml:space="preserve">1.3.I: Liaison Moustiquaire Sud - Layableh </t>
  </si>
  <si>
    <t>1.3.J: Voie tertiaire n°3 : Liaison Moustiquaire Nord-Bd Assamo</t>
  </si>
  <si>
    <t>Assistance technique perlée au chef de projet ADDS</t>
  </si>
  <si>
    <r>
      <t xml:space="preserve">Dépenses immatérielles
pour l'ensemble de la réalisation du schéma directeur (en </t>
    </r>
    <r>
      <rPr>
        <b/>
        <sz val="12"/>
        <color theme="0"/>
        <rFont val="Arial Bold"/>
      </rPr>
      <t>€)</t>
    </r>
  </si>
  <si>
    <t>Montant en Euros          Tranche Ferme</t>
  </si>
  <si>
    <t>Montant en Euros                 Tranche Conditionnelle 1</t>
  </si>
  <si>
    <t>Montant en Euros                 Tranche Conditionnelle 2</t>
  </si>
  <si>
    <r>
      <t xml:space="preserve">Dépenses immatérielles
Tranches ferme et conditionnelle 1 (en </t>
    </r>
    <r>
      <rPr>
        <b/>
        <sz val="12"/>
        <color theme="0"/>
        <rFont val="Arial Bold"/>
      </rPr>
      <t>€)</t>
    </r>
  </si>
  <si>
    <t>TOTAL TRANCHE FERME  ET CONDITIONNELLE 1</t>
  </si>
  <si>
    <t>TOTAL REALISATION DU SDA</t>
  </si>
  <si>
    <r>
      <rPr>
        <b/>
        <sz val="12"/>
        <color theme="1" tint="4.9989318521683403E-2"/>
        <rFont val="TradeGothic"/>
      </rPr>
      <t>4.2.L</t>
    </r>
    <r>
      <rPr>
        <sz val="12"/>
        <color theme="1" tint="4.9989318521683403E-2"/>
        <rFont val="TradeGothic"/>
      </rPr>
      <t>: 1 plateforme de 2 terrains de pétanque (15 x 20m) à proximité de l'école Balbala 10</t>
    </r>
  </si>
  <si>
    <r>
      <rPr>
        <b/>
        <sz val="12"/>
        <color theme="1" tint="4.9989318521683403E-2"/>
        <rFont val="TradeGothic"/>
      </rPr>
      <t>4.2.M</t>
    </r>
    <r>
      <rPr>
        <sz val="12"/>
        <color theme="1" tint="4.9989318521683403E-2"/>
        <rFont val="TradeGothic"/>
      </rPr>
      <t>: 1 plateau multisport</t>
    </r>
  </si>
  <si>
    <t>TOTAL POUR PROJET PDUI-2</t>
  </si>
</sst>
</file>

<file path=xl/styles.xml><?xml version="1.0" encoding="utf-8"?>
<styleSheet xmlns="http://schemas.openxmlformats.org/spreadsheetml/2006/main">
  <numFmts count="3">
    <numFmt numFmtId="164" formatCode="_ * #,##0.00_)\ _€_ ;_ * \(#,##0.00\)\ _€_ ;_ * &quot;-&quot;??_)\ _€_ ;_ @_ "/>
    <numFmt numFmtId="165" formatCode="_ * #,##0_)\ _€_ ;_ * \(#,##0\)\ _€_ ;_ * &quot;-&quot;??_)\ _€_ ;_ @_ "/>
    <numFmt numFmtId="166" formatCode="_-* #,##0\ _€_-;\-* #,##0\ _€_-;_-* &quot;-&quot;??\ _€_-;_-@_-"/>
  </numFmts>
  <fonts count="27">
    <font>
      <sz val="12"/>
      <color theme="1"/>
      <name val="Calibri"/>
      <family val="2"/>
      <scheme val="minor"/>
    </font>
    <font>
      <sz val="12"/>
      <color theme="1"/>
      <name val="Calibri"/>
      <family val="2"/>
      <scheme val="minor"/>
    </font>
    <font>
      <sz val="12"/>
      <color theme="1"/>
      <name val="TradeGothic"/>
    </font>
    <font>
      <b/>
      <sz val="12"/>
      <color theme="1"/>
      <name val="TradeGothic"/>
    </font>
    <font>
      <u/>
      <sz val="12"/>
      <color theme="10"/>
      <name val="Calibri"/>
      <family val="2"/>
      <scheme val="minor"/>
    </font>
    <font>
      <u/>
      <sz val="12"/>
      <color theme="11"/>
      <name val="Calibri"/>
      <family val="2"/>
      <scheme val="minor"/>
    </font>
    <font>
      <sz val="12"/>
      <color theme="1"/>
      <name val="Times"/>
    </font>
    <font>
      <b/>
      <sz val="12"/>
      <color rgb="FF000000"/>
      <name val="TradeGothic"/>
    </font>
    <font>
      <sz val="12"/>
      <color rgb="FF000000"/>
      <name val="TradeGothic"/>
    </font>
    <font>
      <sz val="9"/>
      <color theme="1"/>
      <name val="TradeGothic"/>
    </font>
    <font>
      <b/>
      <sz val="12"/>
      <color theme="0"/>
      <name val="TradeGothic"/>
    </font>
    <font>
      <b/>
      <sz val="12"/>
      <color theme="0"/>
      <name val="Calibri"/>
      <family val="2"/>
      <scheme val="minor"/>
    </font>
    <font>
      <b/>
      <sz val="12"/>
      <color theme="1"/>
      <name val="Calibri"/>
      <family val="2"/>
      <scheme val="minor"/>
    </font>
    <font>
      <b/>
      <sz val="16"/>
      <color theme="0"/>
      <name val="TradeGothic"/>
    </font>
    <font>
      <b/>
      <sz val="12"/>
      <color theme="1" tint="4.9989318521683403E-2"/>
      <name val="TradeGothic"/>
    </font>
    <font>
      <sz val="12"/>
      <color theme="1" tint="4.9989318521683403E-2"/>
      <name val="Calibri"/>
      <family val="2"/>
      <scheme val="minor"/>
    </font>
    <font>
      <b/>
      <sz val="12"/>
      <color theme="1" tint="4.9989318521683403E-2"/>
      <name val="Calibri"/>
      <family val="2"/>
      <scheme val="minor"/>
    </font>
    <font>
      <sz val="12"/>
      <color theme="1" tint="4.9989318521683403E-2"/>
      <name val="TradeGothic"/>
    </font>
    <font>
      <sz val="12"/>
      <color theme="1" tint="4.9989318521683403E-2"/>
      <name val="Times"/>
    </font>
    <font>
      <sz val="10"/>
      <color theme="1"/>
      <name val="Calibri"/>
      <family val="2"/>
      <scheme val="minor"/>
    </font>
    <font>
      <sz val="12"/>
      <color rgb="FFFF0000"/>
      <name val="Calibri"/>
      <family val="2"/>
      <scheme val="minor"/>
    </font>
    <font>
      <b/>
      <sz val="12"/>
      <color rgb="FFFF0000"/>
      <name val="Calibri"/>
      <family val="2"/>
      <scheme val="minor"/>
    </font>
    <font>
      <b/>
      <sz val="16"/>
      <color theme="1"/>
      <name val="TradeGothic"/>
    </font>
    <font>
      <b/>
      <sz val="12"/>
      <name val="TradeGothic"/>
    </font>
    <font>
      <sz val="12"/>
      <name val="TradeGothic"/>
    </font>
    <font>
      <sz val="12"/>
      <name val="Calibri"/>
      <family val="2"/>
      <scheme val="minor"/>
    </font>
    <font>
      <b/>
      <sz val="12"/>
      <color theme="0"/>
      <name val="Arial Bold"/>
    </font>
  </fonts>
  <fills count="18">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rgb="FFFFFFCC"/>
        <bgColor indexed="64"/>
      </patternFill>
    </fill>
    <fill>
      <patternFill patternType="solid">
        <fgColor theme="3" tint="0.59999389629810485"/>
        <bgColor indexed="64"/>
      </patternFill>
    </fill>
    <fill>
      <patternFill patternType="solid">
        <fgColor theme="8" tint="0.7999816888943144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right style="thin">
        <color auto="1"/>
      </right>
      <top/>
      <bottom style="thin">
        <color auto="1"/>
      </bottom>
      <diagonal/>
    </border>
    <border>
      <left/>
      <right/>
      <top/>
      <bottom style="medium">
        <color auto="1"/>
      </bottom>
      <diagonal/>
    </border>
    <border>
      <left style="thin">
        <color auto="1"/>
      </left>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medium">
        <color auto="1"/>
      </right>
      <top/>
      <bottom/>
      <diagonal/>
    </border>
    <border>
      <left/>
      <right style="thin">
        <color auto="1"/>
      </right>
      <top/>
      <bottom style="medium">
        <color auto="1"/>
      </bottom>
      <diagonal/>
    </border>
    <border>
      <left style="thin">
        <color auto="1"/>
      </left>
      <right/>
      <top/>
      <bottom style="medium">
        <color auto="1"/>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thin">
        <color auto="1"/>
      </left>
      <right style="thin">
        <color auto="1"/>
      </right>
      <top/>
      <bottom/>
      <diagonal/>
    </border>
  </borders>
  <cellStyleXfs count="491">
    <xf numFmtId="0" fontId="0" fillId="0" borderId="0"/>
    <xf numFmtId="16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403">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justify" vertical="center"/>
    </xf>
    <xf numFmtId="0" fontId="2" fillId="0" borderId="1" xfId="0" applyFont="1" applyBorder="1" applyAlignment="1">
      <alignment horizontal="left" vertical="center" wrapText="1" indent="1"/>
    </xf>
    <xf numFmtId="0" fontId="0" fillId="0" borderId="1" xfId="0" applyBorder="1"/>
    <xf numFmtId="165" fontId="2" fillId="0" borderId="1" xfId="1" applyNumberFormat="1" applyFont="1" applyBorder="1" applyAlignment="1">
      <alignment horizontal="right" vertical="center"/>
    </xf>
    <xf numFmtId="165" fontId="3" fillId="0" borderId="1" xfId="1" applyNumberFormat="1" applyFont="1" applyBorder="1" applyAlignment="1">
      <alignment horizontal="right" vertical="center"/>
    </xf>
    <xf numFmtId="165" fontId="2" fillId="0" borderId="1" xfId="1" applyNumberFormat="1" applyFont="1" applyBorder="1" applyAlignment="1">
      <alignment horizontal="right" vertical="center" wrapText="1"/>
    </xf>
    <xf numFmtId="0" fontId="3" fillId="0" borderId="1" xfId="0" applyFont="1" applyBorder="1" applyAlignment="1">
      <alignment horizontal="left" vertical="center" indent="1"/>
    </xf>
    <xf numFmtId="0" fontId="2" fillId="0" borderId="1" xfId="0" applyFont="1" applyBorder="1" applyAlignment="1">
      <alignment horizontal="left" vertical="center" indent="1"/>
    </xf>
    <xf numFmtId="0" fontId="6" fillId="0" borderId="1" xfId="0" applyFont="1" applyBorder="1"/>
    <xf numFmtId="0" fontId="2" fillId="0" borderId="1" xfId="0" applyFont="1" applyBorder="1" applyAlignment="1">
      <alignment horizontal="center" vertical="center"/>
    </xf>
    <xf numFmtId="165" fontId="2" fillId="0" borderId="1" xfId="1" applyNumberFormat="1" applyFont="1" applyBorder="1" applyAlignment="1">
      <alignment horizontal="center" vertical="center" wrapText="1"/>
    </xf>
    <xf numFmtId="0" fontId="0" fillId="0" borderId="0" xfId="0" applyFill="1" applyBorder="1"/>
    <xf numFmtId="0" fontId="2" fillId="0" borderId="1" xfId="0" applyFont="1" applyBorder="1" applyAlignment="1">
      <alignment horizontal="center" vertical="center" wrapText="1"/>
    </xf>
    <xf numFmtId="0" fontId="0" fillId="0" borderId="1" xfId="0" applyBorder="1" applyAlignment="1">
      <alignment horizontal="center"/>
    </xf>
    <xf numFmtId="0" fontId="3" fillId="0" borderId="1" xfId="0" applyFont="1" applyBorder="1" applyAlignment="1">
      <alignment horizontal="center" vertical="center"/>
    </xf>
    <xf numFmtId="0" fontId="0" fillId="0" borderId="0" xfId="0" applyAlignment="1">
      <alignment horizontal="center" vertical="center"/>
    </xf>
    <xf numFmtId="0" fontId="10" fillId="2" borderId="1" xfId="0" applyFont="1" applyFill="1" applyBorder="1" applyAlignment="1">
      <alignment horizontal="center" vertical="center" wrapText="1"/>
    </xf>
    <xf numFmtId="0" fontId="0" fillId="0" borderId="0" xfId="0" applyAlignment="1">
      <alignment horizontal="center"/>
    </xf>
    <xf numFmtId="0" fontId="0" fillId="0" borderId="0" xfId="0" applyFill="1"/>
    <xf numFmtId="0" fontId="9" fillId="0" borderId="0" xfId="1" applyNumberFormat="1" applyFont="1" applyFill="1" applyBorder="1" applyAlignment="1">
      <alignment horizontal="left" vertical="center"/>
    </xf>
    <xf numFmtId="0" fontId="9" fillId="0" borderId="0" xfId="1" applyNumberFormat="1" applyFont="1" applyFill="1" applyBorder="1" applyAlignment="1">
      <alignment horizontal="center" vertical="center"/>
    </xf>
    <xf numFmtId="166" fontId="9" fillId="0" borderId="0" xfId="1" applyNumberFormat="1" applyFont="1" applyFill="1" applyBorder="1" applyAlignment="1">
      <alignment horizontal="center" vertical="center"/>
    </xf>
    <xf numFmtId="166" fontId="9" fillId="0" borderId="0" xfId="1" applyNumberFormat="1" applyFont="1" applyFill="1" applyBorder="1" applyAlignment="1">
      <alignment horizontal="right" vertical="center"/>
    </xf>
    <xf numFmtId="0" fontId="2" fillId="0" borderId="1" xfId="0" applyFont="1" applyBorder="1" applyAlignment="1">
      <alignment horizontal="left" vertical="center" indent="3"/>
    </xf>
    <xf numFmtId="0" fontId="2" fillId="0" borderId="3" xfId="0" applyFont="1" applyBorder="1" applyAlignment="1">
      <alignment horizontal="center" vertical="center" wrapText="1"/>
    </xf>
    <xf numFmtId="165" fontId="2" fillId="0" borderId="1" xfId="0" applyNumberFormat="1" applyFont="1" applyBorder="1" applyAlignment="1">
      <alignment horizontal="left" vertical="center" wrapText="1" indent="1"/>
    </xf>
    <xf numFmtId="0" fontId="3" fillId="7" borderId="3" xfId="0" applyFont="1" applyFill="1" applyBorder="1" applyAlignment="1">
      <alignment horizontal="right" vertical="center"/>
    </xf>
    <xf numFmtId="165" fontId="3" fillId="7" borderId="3" xfId="1" applyNumberFormat="1" applyFont="1" applyFill="1" applyBorder="1" applyAlignment="1">
      <alignment horizontal="right" vertical="center"/>
    </xf>
    <xf numFmtId="0" fontId="0" fillId="7" borderId="0" xfId="0" applyFill="1" applyAlignment="1">
      <alignment horizontal="center"/>
    </xf>
    <xf numFmtId="0" fontId="0" fillId="7" borderId="0" xfId="0" applyFill="1"/>
    <xf numFmtId="165" fontId="0" fillId="7" borderId="0" xfId="0" applyNumberFormat="1" applyFill="1"/>
    <xf numFmtId="165" fontId="10" fillId="2" borderId="1" xfId="1" applyNumberFormat="1" applyFont="1" applyFill="1" applyBorder="1" applyAlignment="1">
      <alignment horizontal="right" vertical="center"/>
    </xf>
    <xf numFmtId="0" fontId="9" fillId="7" borderId="0" xfId="0" applyFont="1" applyFill="1" applyAlignment="1">
      <alignment horizontal="left" vertical="center"/>
    </xf>
    <xf numFmtId="0" fontId="10" fillId="2" borderId="1" xfId="0" applyFont="1" applyFill="1" applyBorder="1" applyAlignment="1">
      <alignment horizontal="center" vertical="center" wrapText="1"/>
    </xf>
    <xf numFmtId="165" fontId="0" fillId="0" borderId="0" xfId="0" applyNumberFormat="1" applyFill="1"/>
    <xf numFmtId="0" fontId="0" fillId="0" borderId="0" xfId="0" applyFill="1" applyAlignment="1">
      <alignment horizontal="center"/>
    </xf>
    <xf numFmtId="0" fontId="10" fillId="2" borderId="1" xfId="0" applyFont="1" applyFill="1" applyBorder="1" applyAlignment="1">
      <alignment horizontal="center" vertical="center"/>
    </xf>
    <xf numFmtId="0" fontId="0" fillId="7" borderId="0" xfId="0" applyFill="1" applyBorder="1"/>
    <xf numFmtId="0" fontId="10" fillId="9" borderId="15" xfId="0" applyFont="1" applyFill="1" applyBorder="1" applyAlignment="1">
      <alignment horizontal="center" vertical="center" wrapText="1"/>
    </xf>
    <xf numFmtId="0" fontId="9" fillId="7" borderId="17" xfId="0" applyFont="1" applyFill="1" applyBorder="1" applyAlignment="1">
      <alignment horizontal="left" vertical="center"/>
    </xf>
    <xf numFmtId="165" fontId="10" fillId="9" borderId="16" xfId="1" applyNumberFormat="1" applyFont="1" applyFill="1" applyBorder="1" applyAlignment="1">
      <alignment horizontal="right" vertical="center"/>
    </xf>
    <xf numFmtId="0" fontId="0" fillId="7" borderId="17" xfId="0" applyFill="1" applyBorder="1"/>
    <xf numFmtId="165" fontId="13" fillId="2" borderId="1" xfId="1" applyNumberFormat="1" applyFont="1" applyFill="1" applyBorder="1" applyAlignment="1">
      <alignment horizontal="right" vertical="center"/>
    </xf>
    <xf numFmtId="165" fontId="13" fillId="9" borderId="15" xfId="1" applyNumberFormat="1" applyFont="1" applyFill="1" applyBorder="1" applyAlignment="1">
      <alignment horizontal="center" vertical="center" wrapText="1"/>
    </xf>
    <xf numFmtId="165" fontId="13" fillId="9" borderId="14" xfId="1" applyNumberFormat="1" applyFont="1" applyFill="1" applyBorder="1" applyAlignment="1">
      <alignment vertical="center"/>
    </xf>
    <xf numFmtId="0" fontId="15" fillId="7" borderId="0" xfId="0" applyFont="1" applyFill="1" applyAlignment="1">
      <alignment horizontal="center"/>
    </xf>
    <xf numFmtId="0" fontId="16" fillId="7" borderId="0" xfId="0" applyFont="1" applyFill="1"/>
    <xf numFmtId="0" fontId="15" fillId="7" borderId="0" xfId="0" applyFont="1" applyFill="1"/>
    <xf numFmtId="0" fontId="14" fillId="6" borderId="1" xfId="0" applyFont="1" applyFill="1" applyBorder="1" applyAlignment="1">
      <alignment horizontal="left" vertical="center" indent="1"/>
    </xf>
    <xf numFmtId="0" fontId="17" fillId="6" borderId="1" xfId="0" applyFont="1" applyFill="1" applyBorder="1" applyAlignment="1">
      <alignment horizontal="center" vertical="center"/>
    </xf>
    <xf numFmtId="165" fontId="17" fillId="6" borderId="1" xfId="1" applyNumberFormat="1" applyFont="1" applyFill="1" applyBorder="1" applyAlignment="1">
      <alignment horizontal="right" vertical="center"/>
    </xf>
    <xf numFmtId="0" fontId="17" fillId="6" borderId="1" xfId="0" applyFont="1" applyFill="1" applyBorder="1" applyAlignment="1">
      <alignment horizontal="left" vertical="center" indent="1"/>
    </xf>
    <xf numFmtId="165" fontId="17" fillId="6" borderId="1" xfId="1" applyNumberFormat="1" applyFont="1" applyFill="1" applyBorder="1" applyAlignment="1">
      <alignment horizontal="center" vertical="center" wrapText="1"/>
    </xf>
    <xf numFmtId="0" fontId="15" fillId="0" borderId="1" xfId="0" applyFont="1" applyBorder="1" applyAlignment="1">
      <alignment horizontal="center"/>
    </xf>
    <xf numFmtId="165" fontId="14" fillId="0" borderId="1" xfId="1" applyNumberFormat="1" applyFont="1" applyBorder="1" applyAlignment="1">
      <alignment horizontal="right" vertical="center"/>
    </xf>
    <xf numFmtId="0" fontId="14" fillId="5" borderId="1" xfId="0" applyFont="1" applyFill="1" applyBorder="1" applyAlignment="1">
      <alignment horizontal="left" vertical="center" indent="1"/>
    </xf>
    <xf numFmtId="0" fontId="17" fillId="5" borderId="1" xfId="0" applyFont="1" applyFill="1" applyBorder="1" applyAlignment="1">
      <alignment horizontal="center" vertical="center"/>
    </xf>
    <xf numFmtId="165" fontId="17" fillId="5" borderId="1" xfId="1" applyNumberFormat="1" applyFont="1" applyFill="1" applyBorder="1" applyAlignment="1">
      <alignment horizontal="right" vertical="center" wrapText="1"/>
    </xf>
    <xf numFmtId="165" fontId="17" fillId="5" borderId="1" xfId="1" applyNumberFormat="1" applyFont="1" applyFill="1" applyBorder="1" applyAlignment="1">
      <alignment horizontal="center" vertical="center" wrapText="1"/>
    </xf>
    <xf numFmtId="0" fontId="17" fillId="5" borderId="1" xfId="0" applyFont="1" applyFill="1" applyBorder="1" applyAlignment="1">
      <alignment horizontal="left" vertical="center" indent="1"/>
    </xf>
    <xf numFmtId="165" fontId="17" fillId="5" borderId="1" xfId="1" applyNumberFormat="1" applyFont="1" applyFill="1" applyBorder="1" applyAlignment="1">
      <alignment horizontal="right" vertical="center"/>
    </xf>
    <xf numFmtId="0" fontId="15" fillId="5" borderId="1" xfId="0" applyFont="1" applyFill="1" applyBorder="1" applyAlignment="1">
      <alignment horizontal="center"/>
    </xf>
    <xf numFmtId="0" fontId="16" fillId="7" borderId="0" xfId="0" applyFont="1" applyFill="1" applyAlignment="1">
      <alignment horizontal="center"/>
    </xf>
    <xf numFmtId="165" fontId="14" fillId="6" borderId="1" xfId="1" applyNumberFormat="1" applyFont="1" applyFill="1" applyBorder="1" applyAlignment="1">
      <alignment horizontal="right" vertical="center"/>
    </xf>
    <xf numFmtId="165" fontId="14" fillId="8" borderId="1" xfId="1" applyNumberFormat="1" applyFont="1" applyFill="1" applyBorder="1" applyAlignment="1">
      <alignment horizontal="right" vertical="center"/>
    </xf>
    <xf numFmtId="165" fontId="14" fillId="5" borderId="1" xfId="1" applyNumberFormat="1" applyFont="1" applyFill="1" applyBorder="1" applyAlignment="1">
      <alignment horizontal="right" vertical="center"/>
    </xf>
    <xf numFmtId="0" fontId="17" fillId="8" borderId="1" xfId="0" applyFont="1" applyFill="1" applyBorder="1" applyAlignment="1">
      <alignment horizontal="left" vertical="center" wrapText="1" indent="1"/>
    </xf>
    <xf numFmtId="0" fontId="17" fillId="8" borderId="1" xfId="0" applyFont="1" applyFill="1" applyBorder="1" applyAlignment="1">
      <alignment horizontal="center" vertical="center" wrapText="1"/>
    </xf>
    <xf numFmtId="165" fontId="17" fillId="8" borderId="1" xfId="1" applyNumberFormat="1" applyFont="1" applyFill="1" applyBorder="1" applyAlignment="1">
      <alignment horizontal="center" vertical="center" wrapText="1"/>
    </xf>
    <xf numFmtId="165" fontId="17" fillId="8" borderId="1" xfId="1" applyNumberFormat="1" applyFont="1" applyFill="1" applyBorder="1" applyAlignment="1">
      <alignment horizontal="right" vertical="center" indent="2"/>
    </xf>
    <xf numFmtId="165" fontId="17" fillId="8" borderId="1" xfId="1" applyNumberFormat="1" applyFont="1" applyFill="1" applyBorder="1" applyAlignment="1">
      <alignment horizontal="right" vertical="center"/>
    </xf>
    <xf numFmtId="0" fontId="14" fillId="8" borderId="1" xfId="0" applyFont="1" applyFill="1" applyBorder="1" applyAlignment="1">
      <alignment horizontal="left" vertical="center" indent="1"/>
    </xf>
    <xf numFmtId="0" fontId="17" fillId="8" borderId="1" xfId="0" applyFont="1" applyFill="1" applyBorder="1" applyAlignment="1">
      <alignment horizontal="center" vertical="center"/>
    </xf>
    <xf numFmtId="0" fontId="18" fillId="8" borderId="1" xfId="0" applyFont="1" applyFill="1" applyBorder="1"/>
    <xf numFmtId="0" fontId="17" fillId="8" borderId="1" xfId="0" applyFont="1" applyFill="1" applyBorder="1" applyAlignment="1">
      <alignment horizontal="left" vertical="center" indent="1"/>
    </xf>
    <xf numFmtId="0" fontId="17" fillId="5" borderId="1" xfId="0" applyFont="1" applyFill="1" applyBorder="1" applyAlignment="1">
      <alignment horizontal="left" vertical="center" wrapText="1" indent="1"/>
    </xf>
    <xf numFmtId="0" fontId="17" fillId="5" borderId="1" xfId="0" applyFont="1" applyFill="1" applyBorder="1" applyAlignment="1">
      <alignment horizontal="center" vertical="center" wrapText="1"/>
    </xf>
    <xf numFmtId="0" fontId="14" fillId="7" borderId="0" xfId="0" applyFont="1" applyFill="1" applyBorder="1" applyAlignment="1">
      <alignment horizontal="right" vertical="center" wrapText="1"/>
    </xf>
    <xf numFmtId="165" fontId="14" fillId="7" borderId="0" xfId="1" applyNumberFormat="1" applyFont="1" applyFill="1" applyBorder="1" applyAlignment="1">
      <alignment horizontal="right" vertical="center"/>
    </xf>
    <xf numFmtId="0" fontId="15" fillId="7" borderId="0" xfId="0" applyFont="1" applyFill="1" applyBorder="1" applyAlignment="1">
      <alignment horizontal="center"/>
    </xf>
    <xf numFmtId="0" fontId="14" fillId="7" borderId="10" xfId="0" applyFont="1" applyFill="1" applyBorder="1" applyAlignment="1">
      <alignment horizontal="right" vertical="center" wrapText="1"/>
    </xf>
    <xf numFmtId="165" fontId="14" fillId="7" borderId="10" xfId="1" applyNumberFormat="1" applyFont="1" applyFill="1" applyBorder="1" applyAlignment="1">
      <alignment horizontal="right" vertical="center"/>
    </xf>
    <xf numFmtId="0" fontId="14" fillId="4" borderId="2" xfId="0" applyFont="1" applyFill="1" applyBorder="1" applyAlignment="1">
      <alignment vertical="center" wrapText="1"/>
    </xf>
    <xf numFmtId="0" fontId="14" fillId="4" borderId="3" xfId="0" applyFont="1" applyFill="1" applyBorder="1" applyAlignment="1">
      <alignment vertical="center" wrapText="1"/>
    </xf>
    <xf numFmtId="0" fontId="14" fillId="4" borderId="4" xfId="0" applyFont="1" applyFill="1" applyBorder="1" applyAlignment="1">
      <alignment vertical="center" wrapText="1"/>
    </xf>
    <xf numFmtId="0" fontId="17" fillId="6" borderId="1" xfId="0" applyFont="1" applyFill="1" applyBorder="1" applyAlignment="1">
      <alignment horizontal="left" vertical="center" wrapText="1" indent="1"/>
    </xf>
    <xf numFmtId="0" fontId="17" fillId="6" borderId="1" xfId="0" applyFont="1" applyFill="1" applyBorder="1" applyAlignment="1">
      <alignment horizontal="center" vertical="center" wrapText="1"/>
    </xf>
    <xf numFmtId="0" fontId="15" fillId="7" borderId="2" xfId="0" applyFont="1" applyFill="1" applyBorder="1" applyAlignment="1">
      <alignment horizontal="center"/>
    </xf>
    <xf numFmtId="165" fontId="14" fillId="7" borderId="3" xfId="1" applyNumberFormat="1" applyFont="1" applyFill="1" applyBorder="1" applyAlignment="1">
      <alignment horizontal="right" vertical="center"/>
    </xf>
    <xf numFmtId="165" fontId="17" fillId="8" borderId="1" xfId="0" applyNumberFormat="1" applyFont="1" applyFill="1" applyBorder="1" applyAlignment="1">
      <alignment horizontal="left" vertical="center" wrapText="1" indent="1"/>
    </xf>
    <xf numFmtId="0" fontId="17" fillId="6" borderId="3" xfId="0" applyFont="1" applyFill="1" applyBorder="1" applyAlignment="1">
      <alignment horizontal="center" vertical="center" wrapText="1"/>
    </xf>
    <xf numFmtId="0" fontId="14" fillId="4" borderId="1" xfId="0" applyFont="1" applyFill="1" applyBorder="1" applyAlignment="1">
      <alignment vertical="center" wrapText="1"/>
    </xf>
    <xf numFmtId="165" fontId="15" fillId="7" borderId="0" xfId="0" applyNumberFormat="1" applyFont="1" applyFill="1"/>
    <xf numFmtId="0" fontId="15" fillId="10" borderId="16" xfId="0" applyFont="1" applyFill="1" applyBorder="1"/>
    <xf numFmtId="0" fontId="17" fillId="7" borderId="1" xfId="0" applyFont="1" applyFill="1" applyBorder="1" applyAlignment="1">
      <alignment horizontal="left" vertical="center" wrapText="1" indent="1"/>
    </xf>
    <xf numFmtId="165" fontId="17" fillId="0" borderId="1" xfId="1" applyNumberFormat="1" applyFont="1" applyFill="1" applyBorder="1" applyAlignment="1">
      <alignment horizontal="center" vertical="center"/>
    </xf>
    <xf numFmtId="165" fontId="17" fillId="0" borderId="1" xfId="1" applyNumberFormat="1" applyFont="1" applyFill="1" applyBorder="1" applyAlignment="1">
      <alignment horizontal="right" vertical="center"/>
    </xf>
    <xf numFmtId="165" fontId="17" fillId="0" borderId="16" xfId="1" applyNumberFormat="1" applyFont="1" applyFill="1" applyBorder="1" applyAlignment="1">
      <alignment horizontal="right" vertical="center"/>
    </xf>
    <xf numFmtId="165" fontId="17" fillId="7" borderId="0" xfId="1" applyNumberFormat="1" applyFont="1" applyFill="1" applyBorder="1" applyAlignment="1">
      <alignment horizontal="right" vertical="center"/>
    </xf>
    <xf numFmtId="0" fontId="14" fillId="7" borderId="1" xfId="0" applyFont="1" applyFill="1" applyBorder="1" applyAlignment="1">
      <alignment horizontal="left" vertical="center" indent="1"/>
    </xf>
    <xf numFmtId="0" fontId="17" fillId="7" borderId="1" xfId="0" applyFont="1" applyFill="1" applyBorder="1" applyAlignment="1">
      <alignment horizontal="center" vertical="center"/>
    </xf>
    <xf numFmtId="165" fontId="17" fillId="7" borderId="1" xfId="1" applyNumberFormat="1" applyFont="1" applyFill="1" applyBorder="1" applyAlignment="1">
      <alignment horizontal="right" vertical="center"/>
    </xf>
    <xf numFmtId="165" fontId="17" fillId="7" borderId="1" xfId="1" applyNumberFormat="1" applyFont="1" applyFill="1" applyBorder="1" applyAlignment="1">
      <alignment horizontal="center" vertical="center" wrapText="1"/>
    </xf>
    <xf numFmtId="0" fontId="17" fillId="7" borderId="1" xfId="0" applyFont="1" applyFill="1" applyBorder="1" applyAlignment="1">
      <alignment horizontal="left" vertical="center" indent="1"/>
    </xf>
    <xf numFmtId="0" fontId="15" fillId="7" borderId="1" xfId="0" applyFont="1" applyFill="1" applyBorder="1" applyAlignment="1">
      <alignment horizontal="center"/>
    </xf>
    <xf numFmtId="0" fontId="17" fillId="0" borderId="1" xfId="0" applyFont="1" applyFill="1" applyBorder="1" applyAlignment="1">
      <alignment horizontal="left" vertical="center" indent="1"/>
    </xf>
    <xf numFmtId="0" fontId="17" fillId="0" borderId="1" xfId="0" applyFont="1" applyFill="1" applyBorder="1" applyAlignment="1">
      <alignment horizontal="center" vertical="center"/>
    </xf>
    <xf numFmtId="165" fontId="17" fillId="0" borderId="1" xfId="1"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65" fontId="14" fillId="0" borderId="1" xfId="1" applyNumberFormat="1" applyFont="1" applyFill="1" applyBorder="1" applyAlignment="1">
      <alignment horizontal="right" vertical="center"/>
    </xf>
    <xf numFmtId="0" fontId="17" fillId="0" borderId="1" xfId="0" applyFont="1" applyFill="1" applyBorder="1" applyAlignment="1">
      <alignment horizontal="left" vertical="center" wrapText="1" indent="1"/>
    </xf>
    <xf numFmtId="0" fontId="14" fillId="0" borderId="1" xfId="0" applyFont="1" applyFill="1" applyBorder="1" applyAlignment="1">
      <alignment horizontal="left" vertical="center" indent="1"/>
    </xf>
    <xf numFmtId="165" fontId="17" fillId="0" borderId="1" xfId="1" applyNumberFormat="1" applyFont="1" applyFill="1" applyBorder="1" applyAlignment="1">
      <alignment horizontal="right" vertical="center" wrapText="1"/>
    </xf>
    <xf numFmtId="0" fontId="0" fillId="0" borderId="0" xfId="0" applyBorder="1"/>
    <xf numFmtId="0" fontId="0" fillId="0" borderId="5" xfId="0" applyBorder="1"/>
    <xf numFmtId="0" fontId="19" fillId="11" borderId="1" xfId="0" applyFont="1" applyFill="1" applyBorder="1" applyAlignment="1">
      <alignment horizontal="center"/>
    </xf>
    <xf numFmtId="0" fontId="0" fillId="11" borderId="1" xfId="0" applyFill="1" applyBorder="1"/>
    <xf numFmtId="0" fontId="19" fillId="0" borderId="0" xfId="0" applyFont="1" applyBorder="1" applyAlignment="1">
      <alignment horizontal="center"/>
    </xf>
    <xf numFmtId="0" fontId="0" fillId="0" borderId="10" xfId="0" applyBorder="1"/>
    <xf numFmtId="0" fontId="19" fillId="12" borderId="1" xfId="0" applyFont="1" applyFill="1" applyBorder="1" applyAlignment="1">
      <alignment horizontal="center"/>
    </xf>
    <xf numFmtId="0" fontId="19" fillId="6" borderId="1" xfId="0" applyFont="1" applyFill="1" applyBorder="1" applyAlignment="1">
      <alignment horizontal="center"/>
    </xf>
    <xf numFmtId="0" fontId="19" fillId="13" borderId="1" xfId="0" applyFont="1" applyFill="1" applyBorder="1" applyAlignment="1">
      <alignment horizontal="center"/>
    </xf>
    <xf numFmtId="0" fontId="0" fillId="12" borderId="1" xfId="0" applyFill="1" applyBorder="1"/>
    <xf numFmtId="0" fontId="0" fillId="11" borderId="0" xfId="0" applyFill="1"/>
    <xf numFmtId="0" fontId="12" fillId="0" borderId="0" xfId="0" applyFont="1" applyFill="1" applyBorder="1" applyAlignment="1">
      <alignment vertical="center" wrapText="1"/>
    </xf>
    <xf numFmtId="0" fontId="0" fillId="6" borderId="1" xfId="0" applyFill="1" applyBorder="1"/>
    <xf numFmtId="0" fontId="0" fillId="7" borderId="13" xfId="0" applyFill="1" applyBorder="1"/>
    <xf numFmtId="0" fontId="0" fillId="7" borderId="22" xfId="0" applyFill="1" applyBorder="1"/>
    <xf numFmtId="0" fontId="0" fillId="7" borderId="19" xfId="0" applyFill="1" applyBorder="1"/>
    <xf numFmtId="0" fontId="0" fillId="7" borderId="24" xfId="0" applyFill="1" applyBorder="1"/>
    <xf numFmtId="0" fontId="12" fillId="0" borderId="1" xfId="0" applyFont="1" applyBorder="1"/>
    <xf numFmtId="9" fontId="0" fillId="0" borderId="1" xfId="210" applyFont="1" applyBorder="1"/>
    <xf numFmtId="9" fontId="0" fillId="0" borderId="0" xfId="0" applyNumberFormat="1"/>
    <xf numFmtId="0" fontId="12" fillId="0" borderId="1" xfId="0" applyFont="1" applyBorder="1" applyAlignment="1">
      <alignment horizontal="left"/>
    </xf>
    <xf numFmtId="0" fontId="12" fillId="0" borderId="0" xfId="0" applyFont="1" applyBorder="1"/>
    <xf numFmtId="0" fontId="12" fillId="0" borderId="0" xfId="0" applyFont="1" applyBorder="1" applyAlignment="1">
      <alignment horizontal="left"/>
    </xf>
    <xf numFmtId="9" fontId="0" fillId="0" borderId="0" xfId="0" applyNumberFormat="1" applyBorder="1"/>
    <xf numFmtId="165" fontId="14" fillId="7" borderId="1" xfId="1" applyNumberFormat="1" applyFont="1" applyFill="1" applyBorder="1" applyAlignment="1">
      <alignment horizontal="right" vertical="center"/>
    </xf>
    <xf numFmtId="0" fontId="10" fillId="9" borderId="1" xfId="0" applyFont="1" applyFill="1" applyBorder="1" applyAlignment="1">
      <alignment horizontal="center" vertical="center" wrapText="1"/>
    </xf>
    <xf numFmtId="0" fontId="14" fillId="14" borderId="2" xfId="0" applyFont="1" applyFill="1" applyBorder="1" applyAlignment="1">
      <alignment vertical="center" wrapText="1"/>
    </xf>
    <xf numFmtId="0" fontId="14" fillId="14" borderId="3" xfId="0" applyFont="1" applyFill="1" applyBorder="1" applyAlignment="1">
      <alignment vertical="center" wrapText="1"/>
    </xf>
    <xf numFmtId="0" fontId="14" fillId="14" borderId="4" xfId="0" applyFont="1" applyFill="1" applyBorder="1" applyAlignment="1">
      <alignment vertical="center" wrapText="1"/>
    </xf>
    <xf numFmtId="0" fontId="14" fillId="0" borderId="1" xfId="0" applyFont="1" applyFill="1" applyBorder="1" applyAlignment="1">
      <alignment horizontal="center" vertical="center"/>
    </xf>
    <xf numFmtId="165" fontId="13" fillId="9" borderId="1" xfId="1" applyNumberFormat="1" applyFont="1" applyFill="1" applyBorder="1" applyAlignment="1">
      <alignment horizontal="right" vertical="center"/>
    </xf>
    <xf numFmtId="0" fontId="12" fillId="0" borderId="0" xfId="0" applyFont="1" applyAlignment="1">
      <alignment horizontal="center"/>
    </xf>
    <xf numFmtId="0" fontId="0" fillId="15" borderId="21" xfId="0" applyFill="1" applyBorder="1"/>
    <xf numFmtId="0" fontId="0" fillId="15" borderId="13" xfId="0" applyFill="1" applyBorder="1"/>
    <xf numFmtId="0" fontId="0" fillId="15" borderId="25" xfId="0" applyFill="1" applyBorder="1"/>
    <xf numFmtId="0" fontId="0" fillId="15" borderId="26" xfId="0" applyFill="1" applyBorder="1"/>
    <xf numFmtId="0" fontId="0" fillId="15" borderId="27" xfId="0" applyFill="1" applyBorder="1"/>
    <xf numFmtId="0" fontId="0" fillId="15" borderId="0" xfId="0" applyFill="1" applyBorder="1"/>
    <xf numFmtId="0" fontId="0" fillId="15" borderId="7" xfId="0" applyFill="1" applyBorder="1"/>
    <xf numFmtId="0" fontId="0" fillId="15" borderId="12" xfId="0" applyFill="1" applyBorder="1"/>
    <xf numFmtId="0" fontId="0" fillId="15" borderId="23" xfId="0" applyFill="1" applyBorder="1"/>
    <xf numFmtId="0" fontId="0" fillId="15" borderId="19" xfId="0" applyFill="1" applyBorder="1"/>
    <xf numFmtId="0" fontId="0" fillId="15" borderId="29" xfId="0" applyFill="1" applyBorder="1"/>
    <xf numFmtId="0" fontId="0" fillId="15" borderId="30" xfId="0" applyFill="1" applyBorder="1"/>
    <xf numFmtId="0" fontId="19" fillId="0" borderId="32" xfId="0" applyFont="1" applyBorder="1" applyAlignment="1">
      <alignment horizontal="center" vertical="center"/>
    </xf>
    <xf numFmtId="0" fontId="0" fillId="15" borderId="0" xfId="0" applyFill="1" applyBorder="1" applyAlignment="1">
      <alignment horizontal="center" vertical="center"/>
    </xf>
    <xf numFmtId="0" fontId="0" fillId="15" borderId="7" xfId="0" applyFill="1" applyBorder="1" applyAlignment="1">
      <alignment horizontal="center" vertical="center"/>
    </xf>
    <xf numFmtId="0" fontId="0" fillId="15" borderId="12" xfId="0" applyFill="1" applyBorder="1" applyAlignment="1">
      <alignment horizontal="center" vertical="center"/>
    </xf>
    <xf numFmtId="0" fontId="19" fillId="0" borderId="31" xfId="0" applyFont="1" applyBorder="1" applyAlignment="1">
      <alignment horizontal="center" vertical="center"/>
    </xf>
    <xf numFmtId="0" fontId="19" fillId="0" borderId="33" xfId="0" applyFont="1" applyBorder="1" applyAlignment="1">
      <alignment horizontal="center" vertical="center"/>
    </xf>
    <xf numFmtId="0" fontId="0" fillId="15" borderId="22" xfId="0" applyFill="1" applyBorder="1"/>
    <xf numFmtId="0" fontId="0" fillId="15" borderId="28" xfId="0" applyFill="1" applyBorder="1"/>
    <xf numFmtId="0" fontId="0" fillId="15" borderId="24" xfId="0" applyFill="1" applyBorder="1"/>
    <xf numFmtId="0" fontId="17" fillId="7" borderId="3" xfId="0" applyFont="1" applyFill="1" applyBorder="1" applyAlignment="1">
      <alignment horizontal="center" vertical="center"/>
    </xf>
    <xf numFmtId="165" fontId="17" fillId="7" borderId="3" xfId="1" applyNumberFormat="1" applyFont="1" applyFill="1" applyBorder="1" applyAlignment="1">
      <alignment horizontal="right" vertical="center"/>
    </xf>
    <xf numFmtId="165" fontId="17" fillId="7" borderId="3" xfId="1" applyNumberFormat="1" applyFont="1" applyFill="1" applyBorder="1" applyAlignment="1">
      <alignment horizontal="center" vertical="center" wrapText="1"/>
    </xf>
    <xf numFmtId="165" fontId="14" fillId="7" borderId="4" xfId="1" applyNumberFormat="1" applyFont="1" applyFill="1" applyBorder="1" applyAlignment="1">
      <alignment horizontal="right" vertical="center"/>
    </xf>
    <xf numFmtId="0" fontId="17" fillId="12" borderId="1" xfId="0" applyFont="1" applyFill="1" applyBorder="1" applyAlignment="1">
      <alignment horizontal="left" vertical="center" indent="1"/>
    </xf>
    <xf numFmtId="0" fontId="17" fillId="12" borderId="1" xfId="0" applyFont="1" applyFill="1" applyBorder="1" applyAlignment="1">
      <alignment horizontal="center" vertical="center"/>
    </xf>
    <xf numFmtId="165" fontId="17" fillId="12" borderId="1" xfId="1" applyNumberFormat="1" applyFont="1" applyFill="1" applyBorder="1" applyAlignment="1">
      <alignment horizontal="right" vertical="center"/>
    </xf>
    <xf numFmtId="0" fontId="17" fillId="12" borderId="1" xfId="0" applyFont="1" applyFill="1" applyBorder="1" applyAlignment="1">
      <alignment horizontal="center" vertical="center" wrapText="1"/>
    </xf>
    <xf numFmtId="165" fontId="14" fillId="12" borderId="1" xfId="1" applyNumberFormat="1" applyFont="1" applyFill="1" applyBorder="1" applyAlignment="1">
      <alignment horizontal="right" vertical="center"/>
    </xf>
    <xf numFmtId="0" fontId="12" fillId="0" borderId="14" xfId="0" applyFont="1" applyBorder="1"/>
    <xf numFmtId="0" fontId="17" fillId="0" borderId="2" xfId="0" applyFont="1" applyFill="1" applyBorder="1" applyAlignment="1">
      <alignment horizontal="left" vertical="center" wrapText="1" indent="1"/>
    </xf>
    <xf numFmtId="0" fontId="12" fillId="0" borderId="1" xfId="0" applyFont="1" applyFill="1" applyBorder="1"/>
    <xf numFmtId="0" fontId="12" fillId="0" borderId="1" xfId="0" applyFont="1" applyFill="1" applyBorder="1" applyAlignment="1">
      <alignment horizontal="left"/>
    </xf>
    <xf numFmtId="0" fontId="12" fillId="10" borderId="1" xfId="0" applyFont="1" applyFill="1" applyBorder="1"/>
    <xf numFmtId="0" fontId="12" fillId="10" borderId="1" xfId="0" applyFont="1" applyFill="1" applyBorder="1" applyAlignment="1">
      <alignment horizontal="left"/>
    </xf>
    <xf numFmtId="0" fontId="0" fillId="10" borderId="1" xfId="0" applyFill="1" applyBorder="1"/>
    <xf numFmtId="9" fontId="0" fillId="10" borderId="1" xfId="210" applyFont="1" applyFill="1" applyBorder="1"/>
    <xf numFmtId="165" fontId="17" fillId="12" borderId="1" xfId="1" applyNumberFormat="1" applyFont="1" applyFill="1" applyBorder="1" applyAlignment="1">
      <alignment horizontal="center" vertical="center" wrapText="1"/>
    </xf>
    <xf numFmtId="0" fontId="17" fillId="12" borderId="1" xfId="0" applyFont="1" applyFill="1" applyBorder="1" applyAlignment="1">
      <alignment horizontal="left" vertical="center" wrapText="1" indent="1"/>
    </xf>
    <xf numFmtId="165" fontId="14" fillId="12" borderId="1" xfId="0" applyNumberFormat="1" applyFont="1" applyFill="1" applyBorder="1" applyAlignment="1">
      <alignment horizontal="left" vertical="center" wrapText="1" indent="1"/>
    </xf>
    <xf numFmtId="0" fontId="17" fillId="12" borderId="3" xfId="0" applyFont="1" applyFill="1" applyBorder="1" applyAlignment="1">
      <alignment horizontal="center" vertical="center" wrapText="1"/>
    </xf>
    <xf numFmtId="165" fontId="22" fillId="16" borderId="1" xfId="1" applyNumberFormat="1" applyFont="1" applyFill="1" applyBorder="1" applyAlignment="1">
      <alignment horizontal="right" vertical="center"/>
    </xf>
    <xf numFmtId="0" fontId="14" fillId="17" borderId="2" xfId="0" applyFont="1" applyFill="1" applyBorder="1" applyAlignment="1">
      <alignment vertical="center" wrapText="1"/>
    </xf>
    <xf numFmtId="0" fontId="14" fillId="17" borderId="3" xfId="0" applyFont="1" applyFill="1" applyBorder="1" applyAlignment="1">
      <alignment vertical="center" wrapText="1"/>
    </xf>
    <xf numFmtId="0" fontId="14" fillId="17" borderId="4" xfId="0" applyFont="1" applyFill="1" applyBorder="1" applyAlignment="1">
      <alignment vertical="center" wrapText="1"/>
    </xf>
    <xf numFmtId="0" fontId="10" fillId="2" borderId="1" xfId="0" applyFont="1" applyFill="1" applyBorder="1" applyAlignment="1">
      <alignment horizontal="center" vertical="center" wrapText="1"/>
    </xf>
    <xf numFmtId="0" fontId="0" fillId="12" borderId="0" xfId="0" applyFill="1"/>
    <xf numFmtId="0" fontId="14" fillId="7" borderId="0" xfId="0" applyFont="1" applyFill="1" applyBorder="1" applyAlignment="1">
      <alignment horizontal="right" vertical="center"/>
    </xf>
    <xf numFmtId="0" fontId="0" fillId="7" borderId="5" xfId="0" applyFill="1" applyBorder="1"/>
    <xf numFmtId="0" fontId="0" fillId="7" borderId="5" xfId="0" applyFill="1" applyBorder="1" applyAlignment="1"/>
    <xf numFmtId="0" fontId="0" fillId="7" borderId="6" xfId="0" applyFill="1" applyBorder="1"/>
    <xf numFmtId="0" fontId="0" fillId="7" borderId="0" xfId="0" applyFill="1" applyBorder="1" applyAlignment="1"/>
    <xf numFmtId="0" fontId="0" fillId="7" borderId="7" xfId="0" applyFill="1" applyBorder="1"/>
    <xf numFmtId="0" fontId="0" fillId="0" borderId="7" xfId="0" applyBorder="1"/>
    <xf numFmtId="0" fontId="0" fillId="7" borderId="12" xfId="0" applyFill="1" applyBorder="1"/>
    <xf numFmtId="0" fontId="14" fillId="7" borderId="12" xfId="0" applyFont="1" applyFill="1" applyBorder="1" applyAlignment="1">
      <alignment horizontal="right" vertical="center"/>
    </xf>
    <xf numFmtId="165" fontId="0" fillId="7" borderId="0" xfId="0" applyNumberFormat="1" applyFill="1" applyBorder="1"/>
    <xf numFmtId="0" fontId="0" fillId="7" borderId="11" xfId="0" applyFill="1" applyBorder="1"/>
    <xf numFmtId="0" fontId="0" fillId="7" borderId="10" xfId="0" applyFill="1" applyBorder="1"/>
    <xf numFmtId="0" fontId="0" fillId="7" borderId="18" xfId="0" applyFill="1" applyBorder="1"/>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0" fillId="0" borderId="12" xfId="0" applyBorder="1"/>
    <xf numFmtId="0" fontId="0" fillId="0" borderId="20" xfId="0" applyBorder="1"/>
    <xf numFmtId="0" fontId="0" fillId="0" borderId="6" xfId="0" applyBorder="1"/>
    <xf numFmtId="0" fontId="0" fillId="0" borderId="11" xfId="0" applyBorder="1"/>
    <xf numFmtId="0" fontId="0" fillId="0" borderId="18" xfId="0" applyBorder="1"/>
    <xf numFmtId="0" fontId="0" fillId="0" borderId="0" xfId="0" applyAlignment="1">
      <alignment horizontal="right"/>
    </xf>
    <xf numFmtId="165" fontId="0" fillId="0" borderId="0" xfId="1" applyNumberFormat="1" applyFont="1"/>
    <xf numFmtId="165" fontId="0" fillId="0" borderId="0" xfId="0" applyNumberFormat="1"/>
    <xf numFmtId="9" fontId="0" fillId="0" borderId="0" xfId="210" applyFont="1"/>
    <xf numFmtId="0" fontId="15" fillId="8" borderId="1" xfId="0" applyFont="1" applyFill="1" applyBorder="1" applyAlignment="1">
      <alignment horizontal="center"/>
    </xf>
    <xf numFmtId="0" fontId="14" fillId="8" borderId="1" xfId="0" applyFont="1" applyFill="1" applyBorder="1" applyAlignment="1">
      <alignment horizontal="center" vertical="center"/>
    </xf>
    <xf numFmtId="165" fontId="17" fillId="5" borderId="1" xfId="0" applyNumberFormat="1" applyFont="1" applyFill="1" applyBorder="1" applyAlignment="1">
      <alignment horizontal="left" vertical="center" wrapText="1" indent="1"/>
    </xf>
    <xf numFmtId="0" fontId="17" fillId="6" borderId="4" xfId="0" applyFont="1" applyFill="1" applyBorder="1" applyAlignment="1">
      <alignment horizontal="center" vertical="center" wrapText="1"/>
    </xf>
    <xf numFmtId="165" fontId="17" fillId="6" borderId="1" xfId="0" applyNumberFormat="1" applyFont="1" applyFill="1" applyBorder="1" applyAlignment="1">
      <alignment horizontal="center" vertical="center" wrapText="1"/>
    </xf>
    <xf numFmtId="165" fontId="17" fillId="8" borderId="1" xfId="0" applyNumberFormat="1" applyFont="1" applyFill="1" applyBorder="1" applyAlignment="1">
      <alignment horizontal="center" vertical="center" wrapText="1"/>
    </xf>
    <xf numFmtId="165" fontId="17" fillId="5" borderId="1" xfId="0" applyNumberFormat="1" applyFont="1" applyFill="1" applyBorder="1" applyAlignment="1">
      <alignment horizontal="center" vertical="center" wrapText="1"/>
    </xf>
    <xf numFmtId="0" fontId="17" fillId="8" borderId="4" xfId="0" applyFont="1" applyFill="1" applyBorder="1" applyAlignment="1">
      <alignment horizontal="center" vertical="center" wrapText="1"/>
    </xf>
    <xf numFmtId="165" fontId="17" fillId="8" borderId="1" xfId="1" applyNumberFormat="1" applyFont="1" applyFill="1" applyBorder="1" applyAlignment="1">
      <alignment horizontal="right" vertical="center" wrapText="1"/>
    </xf>
    <xf numFmtId="165" fontId="23" fillId="6" borderId="1" xfId="1" applyNumberFormat="1" applyFont="1" applyFill="1" applyBorder="1" applyAlignment="1">
      <alignment horizontal="right" vertical="center"/>
    </xf>
    <xf numFmtId="0" fontId="0" fillId="0" borderId="0" xfId="0" applyFont="1" applyFill="1"/>
    <xf numFmtId="0" fontId="0" fillId="0" borderId="0" xfId="0" applyFont="1"/>
    <xf numFmtId="0" fontId="14" fillId="6" borderId="2" xfId="0"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4" fillId="5" borderId="1" xfId="0" applyFont="1" applyFill="1" applyBorder="1" applyAlignment="1">
      <alignment horizontal="left" vertical="center" wrapText="1" indent="1"/>
    </xf>
    <xf numFmtId="0" fontId="14" fillId="6" borderId="1" xfId="0" applyFont="1" applyFill="1" applyBorder="1" applyAlignment="1">
      <alignment horizontal="left" vertical="center" wrapText="1" indent="1"/>
    </xf>
    <xf numFmtId="0" fontId="14" fillId="5" borderId="2" xfId="0" applyFont="1" applyFill="1" applyBorder="1" applyAlignment="1">
      <alignment horizontal="left" vertical="center" wrapText="1" indent="1"/>
    </xf>
    <xf numFmtId="0" fontId="15" fillId="7" borderId="20" xfId="0" applyFont="1" applyFill="1" applyBorder="1" applyAlignment="1">
      <alignment horizontal="center"/>
    </xf>
    <xf numFmtId="165" fontId="14" fillId="7" borderId="5" xfId="1" applyNumberFormat="1" applyFont="1" applyFill="1" applyBorder="1" applyAlignment="1">
      <alignment horizontal="right" vertical="center"/>
    </xf>
    <xf numFmtId="0" fontId="15" fillId="7" borderId="11" xfId="0" applyFont="1" applyFill="1" applyBorder="1" applyAlignment="1">
      <alignment horizontal="center"/>
    </xf>
    <xf numFmtId="0" fontId="10" fillId="2" borderId="1" xfId="0" applyFont="1" applyFill="1" applyBorder="1" applyAlignment="1">
      <alignment horizontal="center" vertical="center" wrapText="1"/>
    </xf>
    <xf numFmtId="0" fontId="24" fillId="7" borderId="1" xfId="0" applyFont="1" applyFill="1" applyBorder="1" applyAlignment="1">
      <alignment horizontal="left" vertical="center" wrapText="1" indent="1"/>
    </xf>
    <xf numFmtId="165" fontId="24" fillId="0" borderId="1" xfId="1" applyNumberFormat="1" applyFont="1" applyFill="1" applyBorder="1" applyAlignment="1">
      <alignment horizontal="center" vertical="center"/>
    </xf>
    <xf numFmtId="165" fontId="24" fillId="0" borderId="1" xfId="1" applyNumberFormat="1" applyFont="1" applyFill="1" applyBorder="1" applyAlignment="1">
      <alignment horizontal="right" vertical="center"/>
    </xf>
    <xf numFmtId="0" fontId="25" fillId="7" borderId="0" xfId="0" applyFont="1" applyFill="1"/>
    <xf numFmtId="165" fontId="24" fillId="0" borderId="16" xfId="1" applyNumberFormat="1" applyFont="1" applyFill="1" applyBorder="1" applyAlignment="1">
      <alignment horizontal="right" vertical="center"/>
    </xf>
    <xf numFmtId="0" fontId="23" fillId="4" borderId="1" xfId="0" applyFont="1" applyFill="1" applyBorder="1" applyAlignment="1">
      <alignment vertical="center" wrapText="1"/>
    </xf>
    <xf numFmtId="0" fontId="25" fillId="10" borderId="16" xfId="0" applyFont="1" applyFill="1" applyBorder="1"/>
    <xf numFmtId="164" fontId="24" fillId="0" borderId="16" xfId="1" applyNumberFormat="1" applyFont="1" applyFill="1" applyBorder="1" applyAlignment="1">
      <alignment horizontal="right" vertical="center"/>
    </xf>
    <xf numFmtId="9" fontId="17" fillId="0" borderId="1" xfId="210" applyFont="1" applyFill="1" applyBorder="1" applyAlignment="1">
      <alignment horizontal="center" vertical="center"/>
    </xf>
    <xf numFmtId="0" fontId="15" fillId="6" borderId="1" xfId="0" applyFont="1" applyFill="1" applyBorder="1" applyAlignment="1">
      <alignment horizontal="center"/>
    </xf>
    <xf numFmtId="164" fontId="0" fillId="0" borderId="0" xfId="0" applyNumberFormat="1" applyFill="1"/>
    <xf numFmtId="9" fontId="17" fillId="0" borderId="1" xfId="1" applyNumberFormat="1" applyFont="1" applyFill="1" applyBorder="1" applyAlignment="1">
      <alignment horizontal="center" vertical="center"/>
    </xf>
    <xf numFmtId="0" fontId="17" fillId="5" borderId="3"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8"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4" xfId="0" applyFont="1" applyBorder="1" applyAlignment="1">
      <alignment horizontal="right" vertical="center"/>
    </xf>
    <xf numFmtId="0" fontId="14" fillId="8" borderId="2" xfId="0" applyFont="1" applyFill="1" applyBorder="1" applyAlignment="1">
      <alignment horizontal="right" vertical="center" wrapText="1"/>
    </xf>
    <xf numFmtId="0" fontId="14" fillId="8" borderId="3" xfId="0" applyFont="1" applyFill="1" applyBorder="1" applyAlignment="1">
      <alignment horizontal="right" vertical="center" wrapText="1"/>
    </xf>
    <xf numFmtId="0" fontId="14" fillId="8" borderId="4" xfId="0" applyFont="1" applyFill="1" applyBorder="1" applyAlignment="1">
      <alignment horizontal="right" vertical="center" wrapText="1"/>
    </xf>
    <xf numFmtId="0" fontId="14" fillId="5" borderId="2" xfId="0" applyFont="1" applyFill="1" applyBorder="1" applyAlignment="1">
      <alignment horizontal="right" vertical="center" wrapText="1"/>
    </xf>
    <xf numFmtId="0" fontId="14" fillId="5" borderId="3" xfId="0" applyFont="1" applyFill="1" applyBorder="1" applyAlignment="1">
      <alignment horizontal="right" vertical="center" wrapText="1"/>
    </xf>
    <xf numFmtId="0" fontId="14" fillId="5" borderId="4" xfId="0" applyFont="1" applyFill="1" applyBorder="1" applyAlignment="1">
      <alignment horizontal="right" vertical="center" wrapText="1"/>
    </xf>
    <xf numFmtId="0" fontId="14" fillId="4" borderId="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8" borderId="1" xfId="0" applyFont="1" applyFill="1" applyBorder="1" applyAlignment="1">
      <alignment horizontal="right"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4" fillId="6" borderId="2" xfId="0" applyFont="1" applyFill="1" applyBorder="1" applyAlignment="1">
      <alignment horizontal="right" vertical="center" wrapText="1"/>
    </xf>
    <xf numFmtId="0" fontId="14" fillId="6" borderId="3" xfId="0" applyFont="1" applyFill="1" applyBorder="1" applyAlignment="1">
      <alignment horizontal="right" vertical="center" wrapText="1"/>
    </xf>
    <xf numFmtId="0" fontId="14" fillId="6" borderId="4" xfId="0" applyFont="1" applyFill="1" applyBorder="1" applyAlignment="1">
      <alignment horizontal="right" vertical="center" wrapText="1"/>
    </xf>
    <xf numFmtId="0" fontId="14" fillId="7" borderId="2" xfId="0" applyFont="1" applyFill="1" applyBorder="1" applyAlignment="1">
      <alignment horizontal="right" vertical="center"/>
    </xf>
    <xf numFmtId="0" fontId="14" fillId="7" borderId="3" xfId="0" applyFont="1" applyFill="1" applyBorder="1" applyAlignment="1">
      <alignment horizontal="right" vertical="center"/>
    </xf>
    <xf numFmtId="0" fontId="14" fillId="7" borderId="4" xfId="0" applyFont="1" applyFill="1" applyBorder="1" applyAlignment="1">
      <alignment horizontal="right" vertical="center"/>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0" fillId="0" borderId="5" xfId="0" applyBorder="1" applyAlignment="1">
      <alignment horizontal="center"/>
    </xf>
    <xf numFmtId="0" fontId="0" fillId="0" borderId="34" xfId="0" applyBorder="1" applyAlignment="1">
      <alignment horizontal="right" textRotation="90"/>
    </xf>
    <xf numFmtId="0" fontId="0" fillId="0" borderId="34" xfId="0" applyBorder="1" applyAlignment="1">
      <alignment horizontal="right" vertical="top" textRotation="90"/>
    </xf>
    <xf numFmtId="0" fontId="0" fillId="0" borderId="0" xfId="0" applyAlignment="1">
      <alignment horizontal="center" textRotation="90"/>
    </xf>
    <xf numFmtId="0" fontId="0" fillId="0" borderId="2" xfId="0" applyBorder="1" applyAlignment="1">
      <alignment horizontal="center"/>
    </xf>
    <xf numFmtId="0" fontId="0" fillId="0" borderId="4" xfId="0" applyBorder="1" applyAlignment="1">
      <alignment horizont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11" fillId="2" borderId="1" xfId="0" applyFont="1" applyFill="1" applyBorder="1" applyAlignment="1">
      <alignment horizontal="center"/>
    </xf>
    <xf numFmtId="0" fontId="10" fillId="2" borderId="1" xfId="0" applyFont="1" applyFill="1" applyBorder="1" applyAlignment="1">
      <alignment horizontal="center" vertical="center" wrapText="1"/>
    </xf>
    <xf numFmtId="0" fontId="13" fillId="9" borderId="2" xfId="0" applyFont="1" applyFill="1" applyBorder="1" applyAlignment="1">
      <alignment horizontal="right" vertical="center"/>
    </xf>
    <xf numFmtId="0" fontId="13" fillId="9" borderId="3" xfId="0" applyFont="1" applyFill="1" applyBorder="1" applyAlignment="1">
      <alignment horizontal="right" vertical="center"/>
    </xf>
    <xf numFmtId="0" fontId="13" fillId="9" borderId="4" xfId="0" applyFont="1" applyFill="1" applyBorder="1" applyAlignment="1">
      <alignment horizontal="right" vertical="center"/>
    </xf>
    <xf numFmtId="0" fontId="0" fillId="3" borderId="20" xfId="0"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4" fillId="14" borderId="2" xfId="0" applyFont="1" applyFill="1" applyBorder="1" applyAlignment="1">
      <alignment horizontal="left" vertical="center" wrapText="1"/>
    </xf>
    <xf numFmtId="0" fontId="14" fillId="14" borderId="3" xfId="0" applyFont="1" applyFill="1" applyBorder="1" applyAlignment="1">
      <alignment horizontal="left" vertical="center" wrapText="1"/>
    </xf>
    <xf numFmtId="0" fontId="14" fillId="14" borderId="4" xfId="0" applyFont="1" applyFill="1" applyBorder="1" applyAlignment="1">
      <alignment horizontal="left" vertical="center" wrapText="1"/>
    </xf>
    <xf numFmtId="0" fontId="14" fillId="0" borderId="2" xfId="0" applyFont="1" applyFill="1" applyBorder="1" applyAlignment="1">
      <alignment horizontal="right" vertical="center" wrapText="1"/>
    </xf>
    <xf numFmtId="0" fontId="14" fillId="0" borderId="3" xfId="0" applyFont="1" applyFill="1" applyBorder="1" applyAlignment="1">
      <alignment horizontal="right" vertical="center" wrapText="1"/>
    </xf>
    <xf numFmtId="0" fontId="14" fillId="0" borderId="4" xfId="0" applyFont="1" applyFill="1" applyBorder="1" applyAlignment="1">
      <alignment horizontal="right" vertical="center" wrapText="1"/>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4" xfId="0" applyFont="1" applyFill="1" applyBorder="1" applyAlignment="1">
      <alignment horizontal="right" vertical="center"/>
    </xf>
    <xf numFmtId="0" fontId="14" fillId="17" borderId="2" xfId="0" applyFont="1" applyFill="1" applyBorder="1" applyAlignment="1">
      <alignment horizontal="left" vertical="center" wrapText="1"/>
    </xf>
    <xf numFmtId="0" fontId="14" fillId="17" borderId="3" xfId="0" applyFont="1" applyFill="1" applyBorder="1" applyAlignment="1">
      <alignment horizontal="left" vertical="center" wrapText="1"/>
    </xf>
    <xf numFmtId="0" fontId="14" fillId="17" borderId="4" xfId="0" applyFont="1" applyFill="1" applyBorder="1" applyAlignment="1">
      <alignment horizontal="left" vertical="center" wrapText="1"/>
    </xf>
    <xf numFmtId="0" fontId="22" fillId="16" borderId="2" xfId="0" applyFont="1" applyFill="1" applyBorder="1" applyAlignment="1">
      <alignment horizontal="right" vertical="center"/>
    </xf>
    <xf numFmtId="0" fontId="22" fillId="16" borderId="3" xfId="0" applyFont="1" applyFill="1" applyBorder="1" applyAlignment="1">
      <alignment horizontal="right" vertical="center"/>
    </xf>
    <xf numFmtId="0" fontId="22" fillId="16" borderId="4" xfId="0" applyFont="1" applyFill="1" applyBorder="1" applyAlignment="1">
      <alignment horizontal="right" vertical="center"/>
    </xf>
    <xf numFmtId="0" fontId="14" fillId="12" borderId="2" xfId="0" applyFont="1" applyFill="1" applyBorder="1" applyAlignment="1">
      <alignment horizontal="right" vertical="center" wrapText="1"/>
    </xf>
    <xf numFmtId="0" fontId="14" fillId="12" borderId="3" xfId="0" applyFont="1" applyFill="1" applyBorder="1" applyAlignment="1">
      <alignment horizontal="right" vertical="center" wrapText="1"/>
    </xf>
    <xf numFmtId="0" fontId="14" fillId="12" borderId="4" xfId="0" applyFont="1" applyFill="1" applyBorder="1" applyAlignment="1">
      <alignment horizontal="right" vertical="center" wrapText="1"/>
    </xf>
    <xf numFmtId="0" fontId="20" fillId="7" borderId="34" xfId="0" applyFont="1" applyFill="1" applyBorder="1" applyAlignment="1">
      <alignment horizontal="center" vertical="center" wrapText="1"/>
    </xf>
    <xf numFmtId="0" fontId="14" fillId="0" borderId="1" xfId="0" applyFont="1" applyFill="1" applyBorder="1" applyAlignment="1">
      <alignment horizontal="right"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21" fillId="0" borderId="27" xfId="0" applyFont="1" applyBorder="1" applyAlignment="1">
      <alignment horizontal="left"/>
    </xf>
    <xf numFmtId="0" fontId="21" fillId="0" borderId="0" xfId="0" applyFont="1" applyBorder="1" applyAlignment="1">
      <alignment horizontal="left"/>
    </xf>
    <xf numFmtId="0" fontId="12" fillId="1" borderId="20" xfId="0" applyFont="1" applyFill="1" applyBorder="1" applyAlignment="1">
      <alignment horizontal="center" vertical="center" wrapText="1"/>
    </xf>
    <xf numFmtId="0" fontId="12" fillId="1" borderId="5" xfId="0" applyFont="1" applyFill="1" applyBorder="1" applyAlignment="1">
      <alignment horizontal="center" vertical="center" wrapText="1"/>
    </xf>
    <xf numFmtId="0" fontId="12" fillId="1" borderId="6" xfId="0" applyFont="1" applyFill="1" applyBorder="1" applyAlignment="1">
      <alignment horizontal="center" vertical="center" wrapText="1"/>
    </xf>
    <xf numFmtId="0" fontId="12" fillId="1" borderId="12" xfId="0" applyFont="1" applyFill="1" applyBorder="1" applyAlignment="1">
      <alignment horizontal="center" vertical="center" wrapText="1"/>
    </xf>
    <xf numFmtId="0" fontId="12" fillId="1" borderId="0" xfId="0" applyFont="1" applyFill="1" applyBorder="1" applyAlignment="1">
      <alignment horizontal="center" vertical="center" wrapText="1"/>
    </xf>
    <xf numFmtId="0" fontId="12" fillId="1" borderId="7" xfId="0" applyFont="1" applyFill="1" applyBorder="1" applyAlignment="1">
      <alignment horizontal="center" vertical="center" wrapText="1"/>
    </xf>
    <xf numFmtId="0" fontId="12" fillId="1" borderId="11" xfId="0" applyFont="1" applyFill="1" applyBorder="1" applyAlignment="1">
      <alignment horizontal="center" vertical="center" wrapText="1"/>
    </xf>
    <xf numFmtId="0" fontId="12" fillId="1" borderId="10" xfId="0" applyFont="1" applyFill="1" applyBorder="1" applyAlignment="1">
      <alignment horizontal="center" vertical="center" wrapText="1"/>
    </xf>
    <xf numFmtId="0" fontId="12" fillId="1" borderId="18" xfId="0" applyFont="1" applyFill="1" applyBorder="1" applyAlignment="1">
      <alignment horizontal="center" vertical="center" wrapText="1"/>
    </xf>
    <xf numFmtId="0" fontId="12" fillId="0" borderId="0" xfId="0" applyFont="1" applyAlignment="1">
      <alignment horizontal="center"/>
    </xf>
    <xf numFmtId="0" fontId="19" fillId="12" borderId="2" xfId="0" applyFont="1" applyFill="1" applyBorder="1" applyAlignment="1">
      <alignment horizontal="center"/>
    </xf>
    <xf numFmtId="0" fontId="19" fillId="12" borderId="4" xfId="0" applyFont="1" applyFill="1" applyBorder="1" applyAlignment="1">
      <alignment horizontal="center"/>
    </xf>
    <xf numFmtId="0" fontId="12" fillId="10" borderId="1" xfId="0" applyFont="1" applyFill="1" applyBorder="1" applyAlignment="1">
      <alignment horizontal="center"/>
    </xf>
    <xf numFmtId="0" fontId="0" fillId="0" borderId="0" xfId="0" applyAlignment="1">
      <alignment horizontal="center"/>
    </xf>
    <xf numFmtId="0" fontId="12" fillId="7" borderId="21" xfId="0" applyFont="1" applyFill="1" applyBorder="1" applyAlignment="1">
      <alignment horizontal="center"/>
    </xf>
    <xf numFmtId="0" fontId="12" fillId="7" borderId="13" xfId="0" applyFont="1" applyFill="1" applyBorder="1" applyAlignment="1">
      <alignment horizontal="center"/>
    </xf>
    <xf numFmtId="0" fontId="12" fillId="7" borderId="23" xfId="0" applyFont="1" applyFill="1" applyBorder="1" applyAlignment="1">
      <alignment horizontal="center"/>
    </xf>
    <xf numFmtId="0" fontId="12" fillId="7" borderId="19" xfId="0" applyFont="1" applyFill="1" applyBorder="1" applyAlignment="1">
      <alignment horizontal="center"/>
    </xf>
    <xf numFmtId="0" fontId="0" fillId="0" borderId="0" xfId="0" applyAlignment="1">
      <alignment horizontal="left" wrapText="1"/>
    </xf>
    <xf numFmtId="0" fontId="0" fillId="0" borderId="0" xfId="0" applyAlignment="1">
      <alignment horizontal="left" vertical="center"/>
    </xf>
    <xf numFmtId="0" fontId="0" fillId="0" borderId="0" xfId="0" applyAlignment="1">
      <alignment horizontal="left"/>
    </xf>
    <xf numFmtId="0" fontId="12" fillId="8" borderId="21"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28" xfId="0" applyFont="1" applyFill="1" applyBorder="1" applyAlignment="1">
      <alignment horizontal="center" vertical="center" wrapText="1"/>
    </xf>
    <xf numFmtId="0" fontId="12" fillId="8" borderId="23"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2" fillId="8" borderId="24" xfId="0" applyFont="1" applyFill="1" applyBorder="1" applyAlignment="1">
      <alignment horizontal="center" vertical="center" wrapText="1"/>
    </xf>
  </cellXfs>
  <cellStyles count="491">
    <cellStyle name="Lien hypertexte" xfId="2" builtinId="8" hidden="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4" builtinId="8" hidden="1"/>
    <cellStyle name="Lien hypertexte" xfId="126" builtinId="8" hidden="1"/>
    <cellStyle name="Lien hypertexte" xfId="128" builtinId="8" hidden="1"/>
    <cellStyle name="Lien hypertexte" xfId="130" builtinId="8" hidden="1"/>
    <cellStyle name="Lien hypertexte" xfId="132" builtinId="8" hidden="1"/>
    <cellStyle name="Lien hypertexte" xfId="134" builtinId="8" hidden="1"/>
    <cellStyle name="Lien hypertexte" xfId="136" builtinId="8" hidden="1"/>
    <cellStyle name="Lien hypertexte" xfId="138" builtinId="8" hidden="1"/>
    <cellStyle name="Lien hypertexte" xfId="140" builtinId="8" hidden="1"/>
    <cellStyle name="Lien hypertexte" xfId="142" builtinId="8" hidden="1"/>
    <cellStyle name="Lien hypertexte" xfId="144" builtinId="8" hidden="1"/>
    <cellStyle name="Lien hypertexte" xfId="146" builtinId="8" hidden="1"/>
    <cellStyle name="Lien hypertexte" xfId="148" builtinId="8" hidden="1"/>
    <cellStyle name="Lien hypertexte" xfId="150" builtinId="8" hidden="1"/>
    <cellStyle name="Lien hypertexte" xfId="152" builtinId="8" hidden="1"/>
    <cellStyle name="Lien hypertexte" xfId="154" builtinId="8" hidden="1"/>
    <cellStyle name="Lien hypertexte" xfId="156" builtinId="8" hidden="1"/>
    <cellStyle name="Lien hypertexte" xfId="158" builtinId="8" hidden="1"/>
    <cellStyle name="Lien hypertexte" xfId="160" builtinId="8" hidden="1"/>
    <cellStyle name="Lien hypertexte" xfId="162" builtinId="8" hidden="1"/>
    <cellStyle name="Lien hypertexte" xfId="164" builtinId="8" hidden="1"/>
    <cellStyle name="Lien hypertexte" xfId="166" builtinId="8" hidden="1"/>
    <cellStyle name="Lien hypertexte" xfId="168" builtinId="8" hidden="1"/>
    <cellStyle name="Lien hypertexte" xfId="170" builtinId="8" hidden="1"/>
    <cellStyle name="Lien hypertexte" xfId="172" builtinId="8" hidden="1"/>
    <cellStyle name="Lien hypertexte" xfId="174" builtinId="8" hidden="1"/>
    <cellStyle name="Lien hypertexte" xfId="176" builtinId="8" hidden="1"/>
    <cellStyle name="Lien hypertexte" xfId="178" builtinId="8" hidden="1"/>
    <cellStyle name="Lien hypertexte" xfId="180" builtinId="8" hidden="1"/>
    <cellStyle name="Lien hypertexte" xfId="182" builtinId="8" hidden="1"/>
    <cellStyle name="Lien hypertexte" xfId="184" builtinId="8" hidden="1"/>
    <cellStyle name="Lien hypertexte" xfId="186" builtinId="8" hidden="1"/>
    <cellStyle name="Lien hypertexte" xfId="188" builtinId="8" hidden="1"/>
    <cellStyle name="Lien hypertexte" xfId="190" builtinId="8" hidden="1"/>
    <cellStyle name="Lien hypertexte" xfId="192" builtinId="8" hidden="1"/>
    <cellStyle name="Lien hypertexte" xfId="194" builtinId="8" hidden="1"/>
    <cellStyle name="Lien hypertexte" xfId="196" builtinId="8" hidden="1"/>
    <cellStyle name="Lien hypertexte" xfId="198" builtinId="8" hidden="1"/>
    <cellStyle name="Lien hypertexte" xfId="200" builtinId="8" hidden="1"/>
    <cellStyle name="Lien hypertexte" xfId="202" builtinId="8" hidden="1"/>
    <cellStyle name="Lien hypertexte" xfId="204" builtinId="8" hidden="1"/>
    <cellStyle name="Lien hypertexte" xfId="206" builtinId="8" hidden="1"/>
    <cellStyle name="Lien hypertexte" xfId="208"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7" builtinId="8" hidden="1"/>
    <cellStyle name="Lien hypertexte" xfId="359" builtinId="8" hidden="1"/>
    <cellStyle name="Lien hypertexte" xfId="361" builtinId="8" hidden="1"/>
    <cellStyle name="Lien hypertexte" xfId="363" builtinId="8" hidden="1"/>
    <cellStyle name="Lien hypertexte" xfId="365" builtinId="8" hidden="1"/>
    <cellStyle name="Lien hypertexte" xfId="367" builtinId="8" hidden="1"/>
    <cellStyle name="Lien hypertexte" xfId="369" builtinId="8" hidden="1"/>
    <cellStyle name="Lien hypertexte" xfId="371" builtinId="8" hidden="1"/>
    <cellStyle name="Lien hypertexte" xfId="373" builtinId="8" hidden="1"/>
    <cellStyle name="Lien hypertexte" xfId="375" builtinId="8" hidden="1"/>
    <cellStyle name="Lien hypertexte" xfId="377" builtinId="8" hidden="1"/>
    <cellStyle name="Lien hypertexte" xfId="379" builtinId="8" hidden="1"/>
    <cellStyle name="Lien hypertexte" xfId="381" builtinId="8" hidden="1"/>
    <cellStyle name="Lien hypertexte" xfId="383" builtinId="8" hidden="1"/>
    <cellStyle name="Lien hypertexte" xfId="385" builtinId="8" hidden="1"/>
    <cellStyle name="Lien hypertexte" xfId="387" builtinId="8" hidden="1"/>
    <cellStyle name="Lien hypertexte" xfId="389" builtinId="8" hidden="1"/>
    <cellStyle name="Lien hypertexte" xfId="391" builtinId="8" hidden="1"/>
    <cellStyle name="Lien hypertexte" xfId="393" builtinId="8" hidden="1"/>
    <cellStyle name="Lien hypertexte" xfId="395" builtinId="8" hidden="1"/>
    <cellStyle name="Lien hypertexte" xfId="397" builtinId="8" hidden="1"/>
    <cellStyle name="Lien hypertexte" xfId="399" builtinId="8" hidden="1"/>
    <cellStyle name="Lien hypertexte" xfId="401" builtinId="8" hidden="1"/>
    <cellStyle name="Lien hypertexte" xfId="403" builtinId="8" hidden="1"/>
    <cellStyle name="Lien hypertexte" xfId="405" builtinId="8" hidden="1"/>
    <cellStyle name="Lien hypertexte" xfId="407" builtinId="8" hidden="1"/>
    <cellStyle name="Lien hypertexte" xfId="409" builtinId="8" hidden="1"/>
    <cellStyle name="Lien hypertexte" xfId="411" builtinId="8" hidden="1"/>
    <cellStyle name="Lien hypertexte" xfId="413" builtinId="8" hidden="1"/>
    <cellStyle name="Lien hypertexte" xfId="415" builtinId="8" hidden="1"/>
    <cellStyle name="Lien hypertexte" xfId="417" builtinId="8" hidden="1"/>
    <cellStyle name="Lien hypertexte" xfId="419" builtinId="8" hidden="1"/>
    <cellStyle name="Lien hypertexte" xfId="421" builtinId="8" hidden="1"/>
    <cellStyle name="Lien hypertexte" xfId="423" builtinId="8" hidden="1"/>
    <cellStyle name="Lien hypertexte" xfId="425" builtinId="8" hidden="1"/>
    <cellStyle name="Lien hypertexte" xfId="427" builtinId="8" hidden="1"/>
    <cellStyle name="Lien hypertexte" xfId="429" builtinId="8" hidden="1"/>
    <cellStyle name="Lien hypertexte" xfId="431" builtinId="8" hidden="1"/>
    <cellStyle name="Lien hypertexte" xfId="433" builtinId="8" hidden="1"/>
    <cellStyle name="Lien hypertexte" xfId="435" builtinId="8" hidden="1"/>
    <cellStyle name="Lien hypertexte" xfId="437" builtinId="8" hidden="1"/>
    <cellStyle name="Lien hypertexte" xfId="439" builtinId="8" hidden="1"/>
    <cellStyle name="Lien hypertexte" xfId="441" builtinId="8" hidden="1"/>
    <cellStyle name="Lien hypertexte" xfId="443" builtinId="8" hidden="1"/>
    <cellStyle name="Lien hypertexte" xfId="445" builtinId="8" hidden="1"/>
    <cellStyle name="Lien hypertexte" xfId="447" builtinId="8" hidden="1"/>
    <cellStyle name="Lien hypertexte" xfId="449" builtinId="8" hidden="1"/>
    <cellStyle name="Lien hypertexte" xfId="451" builtinId="8" hidden="1"/>
    <cellStyle name="Lien hypertexte" xfId="453" builtinId="8" hidden="1"/>
    <cellStyle name="Lien hypertexte" xfId="455" builtinId="8" hidden="1"/>
    <cellStyle name="Lien hypertexte" xfId="457" builtinId="8" hidden="1"/>
    <cellStyle name="Lien hypertexte" xfId="459" builtinId="8" hidden="1"/>
    <cellStyle name="Lien hypertexte" xfId="461" builtinId="8" hidden="1"/>
    <cellStyle name="Lien hypertexte" xfId="463" builtinId="8" hidden="1"/>
    <cellStyle name="Lien hypertexte" xfId="465" builtinId="8" hidden="1"/>
    <cellStyle name="Lien hypertexte" xfId="467" builtinId="8" hidden="1"/>
    <cellStyle name="Lien hypertexte" xfId="469" builtinId="8" hidden="1"/>
    <cellStyle name="Lien hypertexte" xfId="471" builtinId="8" hidden="1"/>
    <cellStyle name="Lien hypertexte" xfId="473" builtinId="8" hidden="1"/>
    <cellStyle name="Lien hypertexte" xfId="475" builtinId="8" hidden="1"/>
    <cellStyle name="Lien hypertexte" xfId="477" builtinId="8" hidden="1"/>
    <cellStyle name="Lien hypertexte" xfId="479" builtinId="8" hidden="1"/>
    <cellStyle name="Lien hypertexte" xfId="481" builtinId="8" hidden="1"/>
    <cellStyle name="Lien hypertexte" xfId="483" builtinId="8" hidden="1"/>
    <cellStyle name="Lien hypertexte" xfId="485" builtinId="8" hidden="1"/>
    <cellStyle name="Lien hypertexte" xfId="487" builtinId="8" hidden="1"/>
    <cellStyle name="Lien hypertexte" xfId="489" builtinId="8" hidden="1"/>
    <cellStyle name="Lien hypertexte visité" xfId="3" builtinId="9"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Lien hypertexte visité" xfId="125" builtinId="9" hidden="1"/>
    <cellStyle name="Lien hypertexte visité" xfId="127" builtinId="9" hidden="1"/>
    <cellStyle name="Lien hypertexte visité" xfId="129" builtinId="9" hidden="1"/>
    <cellStyle name="Lien hypertexte visité" xfId="131" builtinId="9" hidden="1"/>
    <cellStyle name="Lien hypertexte visité" xfId="133" builtinId="9" hidden="1"/>
    <cellStyle name="Lien hypertexte visité" xfId="135" builtinId="9" hidden="1"/>
    <cellStyle name="Lien hypertexte visité" xfId="137" builtinId="9" hidden="1"/>
    <cellStyle name="Lien hypertexte visité" xfId="139" builtinId="9" hidden="1"/>
    <cellStyle name="Lien hypertexte visité" xfId="141" builtinId="9" hidden="1"/>
    <cellStyle name="Lien hypertexte visité" xfId="143" builtinId="9" hidden="1"/>
    <cellStyle name="Lien hypertexte visité" xfId="145" builtinId="9" hidden="1"/>
    <cellStyle name="Lien hypertexte visité" xfId="147" builtinId="9" hidden="1"/>
    <cellStyle name="Lien hypertexte visité" xfId="149" builtinId="9" hidden="1"/>
    <cellStyle name="Lien hypertexte visité" xfId="151" builtinId="9" hidden="1"/>
    <cellStyle name="Lien hypertexte visité" xfId="153" builtinId="9" hidden="1"/>
    <cellStyle name="Lien hypertexte visité" xfId="155" builtinId="9" hidden="1"/>
    <cellStyle name="Lien hypertexte visité" xfId="157" builtinId="9" hidden="1"/>
    <cellStyle name="Lien hypertexte visité" xfId="159" builtinId="9" hidden="1"/>
    <cellStyle name="Lien hypertexte visité" xfId="161" builtinId="9" hidden="1"/>
    <cellStyle name="Lien hypertexte visité" xfId="163" builtinId="9" hidden="1"/>
    <cellStyle name="Lien hypertexte visité" xfId="165" builtinId="9" hidden="1"/>
    <cellStyle name="Lien hypertexte visité" xfId="167" builtinId="9" hidden="1"/>
    <cellStyle name="Lien hypertexte visité" xfId="169" builtinId="9" hidden="1"/>
    <cellStyle name="Lien hypertexte visité" xfId="171" builtinId="9" hidden="1"/>
    <cellStyle name="Lien hypertexte visité" xfId="173" builtinId="9" hidden="1"/>
    <cellStyle name="Lien hypertexte visité" xfId="175" builtinId="9" hidden="1"/>
    <cellStyle name="Lien hypertexte visité" xfId="177" builtinId="9" hidden="1"/>
    <cellStyle name="Lien hypertexte visité" xfId="179" builtinId="9" hidden="1"/>
    <cellStyle name="Lien hypertexte visité" xfId="181" builtinId="9" hidden="1"/>
    <cellStyle name="Lien hypertexte visité" xfId="183" builtinId="9" hidden="1"/>
    <cellStyle name="Lien hypertexte visité" xfId="185" builtinId="9" hidden="1"/>
    <cellStyle name="Lien hypertexte visité" xfId="187" builtinId="9" hidden="1"/>
    <cellStyle name="Lien hypertexte visité" xfId="189" builtinId="9" hidden="1"/>
    <cellStyle name="Lien hypertexte visité" xfId="191" builtinId="9" hidden="1"/>
    <cellStyle name="Lien hypertexte visité" xfId="193" builtinId="9" hidden="1"/>
    <cellStyle name="Lien hypertexte visité" xfId="195" builtinId="9" hidden="1"/>
    <cellStyle name="Lien hypertexte visité" xfId="197" builtinId="9" hidden="1"/>
    <cellStyle name="Lien hypertexte visité" xfId="199" builtinId="9" hidden="1"/>
    <cellStyle name="Lien hypertexte visité" xfId="201" builtinId="9" hidden="1"/>
    <cellStyle name="Lien hypertexte visité" xfId="203" builtinId="9" hidden="1"/>
    <cellStyle name="Lien hypertexte visité" xfId="205" builtinId="9" hidden="1"/>
    <cellStyle name="Lien hypertexte visité" xfId="207" builtinId="9" hidden="1"/>
    <cellStyle name="Lien hypertexte visité" xfId="209"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8" builtinId="9" hidden="1"/>
    <cellStyle name="Lien hypertexte visité" xfId="360" builtinId="9" hidden="1"/>
    <cellStyle name="Lien hypertexte visité" xfId="362" builtinId="9" hidden="1"/>
    <cellStyle name="Lien hypertexte visité" xfId="364" builtinId="9" hidden="1"/>
    <cellStyle name="Lien hypertexte visité" xfId="366" builtinId="9" hidden="1"/>
    <cellStyle name="Lien hypertexte visité" xfId="368" builtinId="9" hidden="1"/>
    <cellStyle name="Lien hypertexte visité" xfId="370" builtinId="9" hidden="1"/>
    <cellStyle name="Lien hypertexte visité" xfId="372" builtinId="9" hidden="1"/>
    <cellStyle name="Lien hypertexte visité" xfId="374" builtinId="9" hidden="1"/>
    <cellStyle name="Lien hypertexte visité" xfId="376" builtinId="9" hidden="1"/>
    <cellStyle name="Lien hypertexte visité" xfId="378" builtinId="9" hidden="1"/>
    <cellStyle name="Lien hypertexte visité" xfId="380" builtinId="9" hidden="1"/>
    <cellStyle name="Lien hypertexte visité" xfId="382" builtinId="9" hidden="1"/>
    <cellStyle name="Lien hypertexte visité" xfId="384" builtinId="9" hidden="1"/>
    <cellStyle name="Lien hypertexte visité" xfId="386" builtinId="9" hidden="1"/>
    <cellStyle name="Lien hypertexte visité" xfId="388" builtinId="9" hidden="1"/>
    <cellStyle name="Lien hypertexte visité" xfId="390" builtinId="9" hidden="1"/>
    <cellStyle name="Lien hypertexte visité" xfId="392" builtinId="9" hidden="1"/>
    <cellStyle name="Lien hypertexte visité" xfId="394" builtinId="9" hidden="1"/>
    <cellStyle name="Lien hypertexte visité" xfId="396" builtinId="9" hidden="1"/>
    <cellStyle name="Lien hypertexte visité" xfId="398" builtinId="9" hidden="1"/>
    <cellStyle name="Lien hypertexte visité" xfId="400" builtinId="9" hidden="1"/>
    <cellStyle name="Lien hypertexte visité" xfId="402" builtinId="9" hidden="1"/>
    <cellStyle name="Lien hypertexte visité" xfId="404" builtinId="9" hidden="1"/>
    <cellStyle name="Lien hypertexte visité" xfId="406" builtinId="9" hidden="1"/>
    <cellStyle name="Lien hypertexte visité" xfId="408" builtinId="9" hidden="1"/>
    <cellStyle name="Lien hypertexte visité" xfId="410" builtinId="9" hidden="1"/>
    <cellStyle name="Lien hypertexte visité" xfId="412" builtinId="9" hidden="1"/>
    <cellStyle name="Lien hypertexte visité" xfId="414" builtinId="9" hidden="1"/>
    <cellStyle name="Lien hypertexte visité" xfId="416" builtinId="9" hidden="1"/>
    <cellStyle name="Lien hypertexte visité" xfId="418" builtinId="9" hidden="1"/>
    <cellStyle name="Lien hypertexte visité" xfId="420" builtinId="9" hidden="1"/>
    <cellStyle name="Lien hypertexte visité" xfId="422" builtinId="9" hidden="1"/>
    <cellStyle name="Lien hypertexte visité" xfId="424" builtinId="9" hidden="1"/>
    <cellStyle name="Lien hypertexte visité" xfId="426" builtinId="9" hidden="1"/>
    <cellStyle name="Lien hypertexte visité" xfId="428" builtinId="9" hidden="1"/>
    <cellStyle name="Lien hypertexte visité" xfId="430" builtinId="9" hidden="1"/>
    <cellStyle name="Lien hypertexte visité" xfId="432" builtinId="9" hidden="1"/>
    <cellStyle name="Lien hypertexte visité" xfId="434" builtinId="9" hidden="1"/>
    <cellStyle name="Lien hypertexte visité" xfId="436" builtinId="9" hidden="1"/>
    <cellStyle name="Lien hypertexte visité" xfId="438" builtinId="9" hidden="1"/>
    <cellStyle name="Lien hypertexte visité" xfId="440" builtinId="9" hidden="1"/>
    <cellStyle name="Lien hypertexte visité" xfId="442" builtinId="9" hidden="1"/>
    <cellStyle name="Lien hypertexte visité" xfId="444" builtinId="9" hidden="1"/>
    <cellStyle name="Lien hypertexte visité" xfId="446" builtinId="9" hidden="1"/>
    <cellStyle name="Lien hypertexte visité" xfId="448" builtinId="9" hidden="1"/>
    <cellStyle name="Lien hypertexte visité" xfId="450" builtinId="9" hidden="1"/>
    <cellStyle name="Lien hypertexte visité" xfId="452" builtinId="9" hidden="1"/>
    <cellStyle name="Lien hypertexte visité" xfId="454" builtinId="9" hidden="1"/>
    <cellStyle name="Lien hypertexte visité" xfId="456" builtinId="9" hidden="1"/>
    <cellStyle name="Lien hypertexte visité" xfId="458" builtinId="9" hidden="1"/>
    <cellStyle name="Lien hypertexte visité" xfId="460" builtinId="9" hidden="1"/>
    <cellStyle name="Lien hypertexte visité" xfId="462" builtinId="9" hidden="1"/>
    <cellStyle name="Lien hypertexte visité" xfId="464" builtinId="9" hidden="1"/>
    <cellStyle name="Lien hypertexte visité" xfId="466" builtinId="9" hidden="1"/>
    <cellStyle name="Lien hypertexte visité" xfId="468" builtinId="9" hidden="1"/>
    <cellStyle name="Lien hypertexte visité" xfId="470" builtinId="9" hidden="1"/>
    <cellStyle name="Lien hypertexte visité" xfId="472" builtinId="9" hidden="1"/>
    <cellStyle name="Lien hypertexte visité" xfId="474" builtinId="9" hidden="1"/>
    <cellStyle name="Lien hypertexte visité" xfId="476" builtinId="9" hidden="1"/>
    <cellStyle name="Lien hypertexte visité" xfId="478" builtinId="9" hidden="1"/>
    <cellStyle name="Lien hypertexte visité" xfId="480" builtinId="9" hidden="1"/>
    <cellStyle name="Lien hypertexte visité" xfId="482" builtinId="9" hidden="1"/>
    <cellStyle name="Lien hypertexte visité" xfId="484" builtinId="9" hidden="1"/>
    <cellStyle name="Lien hypertexte visité" xfId="486" builtinId="9" hidden="1"/>
    <cellStyle name="Lien hypertexte visité" xfId="488" builtinId="9" hidden="1"/>
    <cellStyle name="Lien hypertexte visité" xfId="490" builtinId="9" hidden="1"/>
    <cellStyle name="Milliers" xfId="1" builtinId="3"/>
    <cellStyle name="Normal" xfId="0" builtinId="0"/>
    <cellStyle name="Pourcentage" xfId="210" builtinId="5"/>
  </cellStyles>
  <dxfs count="0"/>
  <tableStyles count="0" defaultTableStyle="TableStyleMedium9" defaultPivotStyle="PivotStyleMedium4"/>
  <colors>
    <mruColors>
      <color rgb="FFFFFF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AK489"/>
  <sheetViews>
    <sheetView topLeftCell="B160" zoomScale="75" zoomScaleNormal="75" zoomScalePageLayoutView="75" workbookViewId="0">
      <selection activeCell="J179" sqref="J179"/>
    </sheetView>
  </sheetViews>
  <sheetFormatPr baseColWidth="10" defaultRowHeight="15.6"/>
  <cols>
    <col min="1" max="1" width="49.5" customWidth="1"/>
    <col min="2" max="2" width="86.69921875" customWidth="1"/>
    <col min="3" max="3" width="9" bestFit="1" customWidth="1"/>
    <col min="4" max="4" width="21.5" customWidth="1"/>
    <col min="5" max="5" width="11.5" customWidth="1"/>
    <col min="6" max="6" width="29.5" bestFit="1" customWidth="1"/>
    <col min="7" max="7" width="24.69921875" customWidth="1"/>
    <col min="8" max="8" width="10.5" style="19" hidden="1" customWidth="1"/>
    <col min="9" max="10" width="27.796875" customWidth="1"/>
    <col min="11" max="11" width="23.796875" customWidth="1"/>
    <col min="12" max="12" width="35" style="20" customWidth="1"/>
    <col min="13" max="36" width="10.796875" style="20"/>
  </cols>
  <sheetData>
    <row r="1" spans="2:11" ht="24" customHeight="1">
      <c r="B1" s="268" t="s">
        <v>93</v>
      </c>
      <c r="C1" s="269"/>
      <c r="D1" s="269"/>
      <c r="E1" s="270"/>
      <c r="F1" s="268" t="s">
        <v>9</v>
      </c>
      <c r="G1" s="270"/>
      <c r="H1" s="260" t="s">
        <v>108</v>
      </c>
      <c r="I1" s="262" t="s">
        <v>362</v>
      </c>
      <c r="J1" s="264" t="s">
        <v>363</v>
      </c>
      <c r="K1" s="258" t="s">
        <v>364</v>
      </c>
    </row>
    <row r="2" spans="2:11" ht="24" customHeight="1">
      <c r="B2" s="18" t="s">
        <v>2</v>
      </c>
      <c r="C2" s="18" t="s">
        <v>3</v>
      </c>
      <c r="D2" s="18" t="s">
        <v>4</v>
      </c>
      <c r="E2" s="18" t="s">
        <v>0</v>
      </c>
      <c r="F2" s="18" t="s">
        <v>10</v>
      </c>
      <c r="G2" s="18" t="s">
        <v>8</v>
      </c>
      <c r="H2" s="261"/>
      <c r="I2" s="263"/>
      <c r="J2" s="265"/>
      <c r="K2" s="259"/>
    </row>
    <row r="3" spans="2:11">
      <c r="B3" s="294" t="s">
        <v>303</v>
      </c>
      <c r="C3" s="295"/>
      <c r="D3" s="295"/>
      <c r="E3" s="295"/>
      <c r="F3" s="295"/>
      <c r="G3" s="296"/>
      <c r="H3" s="47"/>
      <c r="I3" s="48"/>
      <c r="J3" s="49"/>
      <c r="K3" s="49"/>
    </row>
    <row r="4" spans="2:11">
      <c r="B4" s="50" t="s">
        <v>304</v>
      </c>
      <c r="C4" s="51"/>
      <c r="D4" s="52"/>
      <c r="E4" s="54"/>
      <c r="F4" s="52"/>
      <c r="G4" s="52"/>
      <c r="H4" s="47"/>
      <c r="I4" s="48"/>
      <c r="J4" s="49"/>
      <c r="K4" s="49"/>
    </row>
    <row r="5" spans="2:11">
      <c r="B5" s="53" t="s">
        <v>270</v>
      </c>
      <c r="C5" s="51" t="s">
        <v>5</v>
      </c>
      <c r="D5" s="52">
        <f>D17</f>
        <v>120000</v>
      </c>
      <c r="E5" s="54">
        <v>1150</v>
      </c>
      <c r="F5" s="52">
        <f>D5*E5</f>
        <v>138000000</v>
      </c>
      <c r="G5" s="52">
        <f>F5/200</f>
        <v>690000</v>
      </c>
      <c r="H5" s="55">
        <v>1</v>
      </c>
      <c r="I5" s="56">
        <f>IF(H5=1,G5,0)</f>
        <v>690000</v>
      </c>
      <c r="J5" s="56">
        <f>IF(H5=2,G5,0)</f>
        <v>0</v>
      </c>
      <c r="K5" s="56">
        <f>IF(H5=3,G5,0)</f>
        <v>0</v>
      </c>
    </row>
    <row r="6" spans="2:11">
      <c r="B6" s="53" t="s">
        <v>281</v>
      </c>
      <c r="C6" s="51" t="s">
        <v>24</v>
      </c>
      <c r="D6" s="52">
        <v>50000000</v>
      </c>
      <c r="E6" s="54">
        <v>1</v>
      </c>
      <c r="F6" s="52">
        <f>D6*E6</f>
        <v>50000000</v>
      </c>
      <c r="G6" s="52">
        <f>F6/200</f>
        <v>250000</v>
      </c>
      <c r="H6" s="55">
        <v>1</v>
      </c>
      <c r="I6" s="56">
        <f>IF(H6=1,G6,0)</f>
        <v>250000</v>
      </c>
      <c r="J6" s="56">
        <f>IF(H6=2,G6,0)</f>
        <v>0</v>
      </c>
      <c r="K6" s="56">
        <f>IF(H6=3,G6,0)</f>
        <v>0</v>
      </c>
    </row>
    <row r="7" spans="2:11">
      <c r="B7" s="73" t="s">
        <v>305</v>
      </c>
      <c r="C7" s="74"/>
      <c r="D7" s="228"/>
      <c r="E7" s="70"/>
      <c r="F7" s="228"/>
      <c r="G7" s="228"/>
      <c r="H7" s="47"/>
      <c r="I7" s="48"/>
      <c r="J7" s="49"/>
      <c r="K7" s="49"/>
    </row>
    <row r="8" spans="2:11">
      <c r="B8" s="76" t="s">
        <v>269</v>
      </c>
      <c r="C8" s="74" t="s">
        <v>5</v>
      </c>
      <c r="D8" s="72">
        <f>D17</f>
        <v>120000</v>
      </c>
      <c r="E8" s="70">
        <v>290</v>
      </c>
      <c r="F8" s="72">
        <f>D8*E8</f>
        <v>34800000</v>
      </c>
      <c r="G8" s="72">
        <f>F8/200</f>
        <v>174000</v>
      </c>
      <c r="H8" s="55">
        <v>2</v>
      </c>
      <c r="I8" s="56">
        <f>IF(H8=1,G8,0)</f>
        <v>0</v>
      </c>
      <c r="J8" s="56">
        <f>IF(H8=2,G8,0)</f>
        <v>174000</v>
      </c>
      <c r="K8" s="56">
        <f>IF(H8=3,G8,0)</f>
        <v>0</v>
      </c>
    </row>
    <row r="9" spans="2:11">
      <c r="B9" s="57" t="s">
        <v>306</v>
      </c>
      <c r="C9" s="58"/>
      <c r="D9" s="59"/>
      <c r="E9" s="60"/>
      <c r="F9" s="59"/>
      <c r="G9" s="59"/>
      <c r="H9" s="47"/>
      <c r="I9" s="48"/>
      <c r="J9" s="49"/>
      <c r="K9" s="49"/>
    </row>
    <row r="10" spans="2:11">
      <c r="B10" s="61" t="s">
        <v>270</v>
      </c>
      <c r="C10" s="58" t="s">
        <v>5</v>
      </c>
      <c r="D10" s="62">
        <f>D17</f>
        <v>120000</v>
      </c>
      <c r="E10" s="60">
        <v>880</v>
      </c>
      <c r="F10" s="62">
        <f>D10*E10</f>
        <v>105600000</v>
      </c>
      <c r="G10" s="62">
        <f>F10/200</f>
        <v>528000</v>
      </c>
      <c r="H10" s="55">
        <v>3</v>
      </c>
      <c r="I10" s="56">
        <f>IF(H10=1,G10,0)</f>
        <v>0</v>
      </c>
      <c r="J10" s="56">
        <f>IF(H10=2,G10,0)</f>
        <v>0</v>
      </c>
      <c r="K10" s="56">
        <f>IF(H10=3,G10,0)</f>
        <v>528000</v>
      </c>
    </row>
    <row r="11" spans="2:11">
      <c r="B11" s="57" t="s">
        <v>307</v>
      </c>
      <c r="C11" s="58"/>
      <c r="D11" s="59"/>
      <c r="E11" s="60"/>
      <c r="F11" s="59"/>
      <c r="G11" s="59"/>
      <c r="H11" s="47"/>
      <c r="I11" s="48"/>
      <c r="J11" s="49"/>
      <c r="K11" s="49"/>
    </row>
    <row r="12" spans="2:11">
      <c r="B12" s="61" t="s">
        <v>270</v>
      </c>
      <c r="C12" s="58" t="s">
        <v>5</v>
      </c>
      <c r="D12" s="62">
        <f>D5</f>
        <v>120000</v>
      </c>
      <c r="E12" s="60">
        <v>720</v>
      </c>
      <c r="F12" s="62">
        <f>D12*E12</f>
        <v>86400000</v>
      </c>
      <c r="G12" s="62">
        <f>F12/200</f>
        <v>432000</v>
      </c>
      <c r="H12" s="55">
        <v>3</v>
      </c>
      <c r="I12" s="56">
        <f>IF(H12=1,G12,0)</f>
        <v>0</v>
      </c>
      <c r="J12" s="56">
        <f>IF(H12=2,G12,0)</f>
        <v>0</v>
      </c>
      <c r="K12" s="56">
        <f>IF(H12=3,G12,0)</f>
        <v>432000</v>
      </c>
    </row>
    <row r="13" spans="2:11">
      <c r="B13" s="57" t="s">
        <v>308</v>
      </c>
      <c r="C13" s="58"/>
      <c r="D13" s="59"/>
      <c r="E13" s="60"/>
      <c r="F13" s="59"/>
      <c r="G13" s="59"/>
      <c r="H13" s="47"/>
      <c r="I13" s="48"/>
      <c r="J13" s="49"/>
      <c r="K13" s="49"/>
    </row>
    <row r="14" spans="2:11">
      <c r="B14" s="61" t="s">
        <v>269</v>
      </c>
      <c r="C14" s="58" t="s">
        <v>5</v>
      </c>
      <c r="D14" s="62">
        <f>D8</f>
        <v>120000</v>
      </c>
      <c r="E14" s="60">
        <v>300</v>
      </c>
      <c r="F14" s="62">
        <f>D14*E14</f>
        <v>36000000</v>
      </c>
      <c r="G14" s="62">
        <f>F14/200</f>
        <v>180000</v>
      </c>
      <c r="H14" s="55">
        <v>3</v>
      </c>
      <c r="I14" s="56">
        <f>IF(H14=1,G14,0)</f>
        <v>0</v>
      </c>
      <c r="J14" s="56">
        <f>IF(H14=2,G14,0)</f>
        <v>0</v>
      </c>
      <c r="K14" s="56">
        <f>IF(H14=3,G14,0)</f>
        <v>180000</v>
      </c>
    </row>
    <row r="15" spans="2:11">
      <c r="B15" s="208" t="s">
        <v>309</v>
      </c>
      <c r="C15" s="209"/>
      <c r="D15" s="209"/>
      <c r="E15" s="209"/>
      <c r="F15" s="210"/>
      <c r="G15" s="210"/>
      <c r="H15" s="47"/>
      <c r="I15" s="48"/>
      <c r="J15" s="49"/>
      <c r="K15" s="49"/>
    </row>
    <row r="16" spans="2:11">
      <c r="B16" s="50" t="s">
        <v>310</v>
      </c>
      <c r="C16" s="51"/>
      <c r="D16" s="52"/>
      <c r="E16" s="51"/>
      <c r="F16" s="52"/>
      <c r="G16" s="52"/>
      <c r="H16" s="47"/>
      <c r="I16" s="48"/>
      <c r="J16" s="49"/>
      <c r="K16" s="49"/>
    </row>
    <row r="17" spans="2:11">
      <c r="B17" s="53" t="s">
        <v>269</v>
      </c>
      <c r="C17" s="51" t="s">
        <v>5</v>
      </c>
      <c r="D17" s="52">
        <v>120000</v>
      </c>
      <c r="E17" s="54">
        <v>730</v>
      </c>
      <c r="F17" s="52">
        <f>D17*E17</f>
        <v>87600000</v>
      </c>
      <c r="G17" s="52">
        <f>F17/200</f>
        <v>438000</v>
      </c>
      <c r="H17" s="55">
        <v>1</v>
      </c>
      <c r="I17" s="56">
        <f>IF(H17=1,G17,0)</f>
        <v>438000</v>
      </c>
      <c r="J17" s="56">
        <f>IF(H17=2,G17,0)</f>
        <v>0</v>
      </c>
      <c r="K17" s="56">
        <f>IF(H17=3,G17,0)</f>
        <v>0</v>
      </c>
    </row>
    <row r="18" spans="2:11">
      <c r="B18" s="57" t="s">
        <v>351</v>
      </c>
      <c r="C18" s="58"/>
      <c r="D18" s="59"/>
      <c r="E18" s="60"/>
      <c r="F18" s="59"/>
      <c r="G18" s="59"/>
      <c r="H18" s="47"/>
      <c r="I18" s="48"/>
      <c r="J18" s="49"/>
      <c r="K18" s="49"/>
    </row>
    <row r="19" spans="2:11">
      <c r="B19" s="61" t="s">
        <v>269</v>
      </c>
      <c r="C19" s="58" t="s">
        <v>5</v>
      </c>
      <c r="D19" s="62">
        <f>D8</f>
        <v>120000</v>
      </c>
      <c r="E19" s="60">
        <v>880</v>
      </c>
      <c r="F19" s="62">
        <f>D19*E19</f>
        <v>105600000</v>
      </c>
      <c r="G19" s="62">
        <f>F19/200</f>
        <v>528000</v>
      </c>
      <c r="H19" s="55">
        <v>3</v>
      </c>
      <c r="I19" s="56">
        <f>IF(H19=1,G19,0)</f>
        <v>0</v>
      </c>
      <c r="J19" s="56">
        <f>IF(H19=2,G19,0)</f>
        <v>0</v>
      </c>
      <c r="K19" s="56">
        <f>IF(H19=3,G19,0)</f>
        <v>528000</v>
      </c>
    </row>
    <row r="20" spans="2:11">
      <c r="B20" s="208" t="s">
        <v>311</v>
      </c>
      <c r="C20" s="209"/>
      <c r="D20" s="209"/>
      <c r="E20" s="209"/>
      <c r="F20" s="210"/>
      <c r="G20" s="210"/>
      <c r="H20" s="47"/>
      <c r="I20" s="48"/>
      <c r="J20" s="49"/>
      <c r="K20" s="49"/>
    </row>
    <row r="21" spans="2:11">
      <c r="B21" s="50" t="s">
        <v>262</v>
      </c>
      <c r="C21" s="51"/>
      <c r="D21" s="52"/>
      <c r="E21" s="51"/>
      <c r="F21" s="52"/>
      <c r="G21" s="52"/>
      <c r="H21" s="47"/>
      <c r="I21" s="48"/>
      <c r="J21" s="49"/>
      <c r="K21" s="49"/>
    </row>
    <row r="22" spans="2:11">
      <c r="B22" s="53" t="s">
        <v>312</v>
      </c>
      <c r="C22" s="51" t="s">
        <v>24</v>
      </c>
      <c r="D22" s="52">
        <v>15000000</v>
      </c>
      <c r="E22" s="54">
        <v>1</v>
      </c>
      <c r="F22" s="52">
        <f>D22*E22</f>
        <v>15000000</v>
      </c>
      <c r="G22" s="52">
        <f>F22/200</f>
        <v>75000</v>
      </c>
      <c r="H22" s="55">
        <v>1</v>
      </c>
      <c r="I22" s="56">
        <f>IF(H22=1,G22,0)</f>
        <v>75000</v>
      </c>
      <c r="J22" s="56">
        <f>IF(H22=2,G22,0)</f>
        <v>0</v>
      </c>
      <c r="K22" s="56">
        <f>IF(H22=3,G22,0)</f>
        <v>0</v>
      </c>
    </row>
    <row r="23" spans="2:11">
      <c r="B23" s="53" t="s">
        <v>313</v>
      </c>
      <c r="C23" s="51" t="s">
        <v>24</v>
      </c>
      <c r="D23" s="52">
        <v>15000000</v>
      </c>
      <c r="E23" s="54">
        <v>1</v>
      </c>
      <c r="F23" s="52">
        <f>D23*E23</f>
        <v>15000000</v>
      </c>
      <c r="G23" s="52">
        <f>F23/200</f>
        <v>75000</v>
      </c>
      <c r="H23" s="55">
        <v>1</v>
      </c>
      <c r="I23" s="56">
        <f>IF(H23=1,G23,0)</f>
        <v>75000</v>
      </c>
      <c r="J23" s="56">
        <f>IF(H23=2,G23,0)</f>
        <v>0</v>
      </c>
      <c r="K23" s="56">
        <f>IF(H23=3,G23,0)</f>
        <v>0</v>
      </c>
    </row>
    <row r="24" spans="2:11">
      <c r="B24" s="50" t="s">
        <v>352</v>
      </c>
      <c r="C24" s="250"/>
      <c r="D24" s="54"/>
      <c r="E24" s="250"/>
      <c r="F24" s="54"/>
      <c r="G24" s="54"/>
      <c r="H24" s="47"/>
      <c r="I24" s="48"/>
      <c r="J24" s="49"/>
      <c r="K24" s="49"/>
    </row>
    <row r="25" spans="2:11">
      <c r="B25" s="53" t="s">
        <v>56</v>
      </c>
      <c r="C25" s="51" t="s">
        <v>1</v>
      </c>
      <c r="D25" s="52">
        <f>D27</f>
        <v>105000</v>
      </c>
      <c r="E25" s="54">
        <v>300</v>
      </c>
      <c r="F25" s="52">
        <f>D25*E25</f>
        <v>31500000</v>
      </c>
      <c r="G25" s="52">
        <f>F25/200</f>
        <v>157500</v>
      </c>
      <c r="H25" s="55">
        <v>1</v>
      </c>
      <c r="I25" s="56">
        <f>IF(H25=1,G25,0)</f>
        <v>157500</v>
      </c>
      <c r="J25" s="56">
        <f>IF(H25=2,G25,0)</f>
        <v>0</v>
      </c>
      <c r="K25" s="56">
        <f>IF(H25=3,G25,0)</f>
        <v>0</v>
      </c>
    </row>
    <row r="26" spans="2:11">
      <c r="B26" s="73" t="s">
        <v>353</v>
      </c>
      <c r="C26" s="220"/>
      <c r="D26" s="70"/>
      <c r="E26" s="220"/>
      <c r="F26" s="70"/>
      <c r="G26" s="70"/>
      <c r="H26" s="47"/>
      <c r="I26" s="48"/>
      <c r="J26" s="49"/>
      <c r="K26" s="49"/>
    </row>
    <row r="27" spans="2:11">
      <c r="B27" s="76" t="s">
        <v>56</v>
      </c>
      <c r="C27" s="74" t="s">
        <v>1</v>
      </c>
      <c r="D27" s="72">
        <v>105000</v>
      </c>
      <c r="E27" s="70">
        <v>530</v>
      </c>
      <c r="F27" s="72">
        <f>D27*E27</f>
        <v>55650000</v>
      </c>
      <c r="G27" s="72">
        <f>F27/200</f>
        <v>278250</v>
      </c>
      <c r="H27" s="55">
        <v>2</v>
      </c>
      <c r="I27" s="56">
        <f>IF(H27=1,G27,0)</f>
        <v>0</v>
      </c>
      <c r="J27" s="56">
        <f>IF(H27=2,G27,0)</f>
        <v>278250</v>
      </c>
      <c r="K27" s="56">
        <f>IF(H27=3,G27,0)</f>
        <v>0</v>
      </c>
    </row>
    <row r="28" spans="2:11">
      <c r="B28" s="73" t="s">
        <v>354</v>
      </c>
      <c r="C28" s="220"/>
      <c r="D28" s="70"/>
      <c r="E28" s="220"/>
      <c r="F28" s="70"/>
      <c r="G28" s="70"/>
      <c r="H28" s="47"/>
      <c r="I28" s="48"/>
      <c r="J28" s="49"/>
      <c r="K28" s="49"/>
    </row>
    <row r="29" spans="2:11">
      <c r="B29" s="76" t="s">
        <v>56</v>
      </c>
      <c r="C29" s="74" t="s">
        <v>1</v>
      </c>
      <c r="D29" s="72">
        <v>105000</v>
      </c>
      <c r="E29" s="70">
        <v>290</v>
      </c>
      <c r="F29" s="72">
        <f>D29*E29</f>
        <v>30450000</v>
      </c>
      <c r="G29" s="72">
        <f>F29/200</f>
        <v>152250</v>
      </c>
      <c r="H29" s="55">
        <v>2</v>
      </c>
      <c r="I29" s="56">
        <f>IF(H29=1,G29,0)</f>
        <v>0</v>
      </c>
      <c r="J29" s="56">
        <f>IF(H29=2,G29,0)</f>
        <v>152250</v>
      </c>
      <c r="K29" s="56">
        <f>IF(H29=3,G29,0)</f>
        <v>0</v>
      </c>
    </row>
    <row r="30" spans="2:11">
      <c r="B30" s="73" t="s">
        <v>355</v>
      </c>
      <c r="C30" s="221"/>
      <c r="D30" s="72"/>
      <c r="E30" s="70"/>
      <c r="F30" s="72"/>
      <c r="G30" s="72"/>
      <c r="H30" s="47"/>
      <c r="I30" s="48"/>
      <c r="J30" s="49"/>
      <c r="K30" s="49"/>
    </row>
    <row r="31" spans="2:11">
      <c r="B31" s="76" t="s">
        <v>271</v>
      </c>
      <c r="C31" s="74" t="s">
        <v>5</v>
      </c>
      <c r="D31" s="72">
        <v>113000</v>
      </c>
      <c r="E31" s="70">
        <v>600</v>
      </c>
      <c r="F31" s="72">
        <f>D31*E31</f>
        <v>67800000</v>
      </c>
      <c r="G31" s="72">
        <f>F31/200</f>
        <v>339000</v>
      </c>
      <c r="H31" s="55">
        <v>2</v>
      </c>
      <c r="I31" s="56">
        <f>IF(H31=1,G31,0)</f>
        <v>0</v>
      </c>
      <c r="J31" s="56">
        <f>IF(H31=2,G31,0)</f>
        <v>339000</v>
      </c>
      <c r="K31" s="56">
        <f>IF(H31=3,G31,0)</f>
        <v>0</v>
      </c>
    </row>
    <row r="32" spans="2:11">
      <c r="B32" s="73" t="s">
        <v>262</v>
      </c>
      <c r="C32" s="74"/>
      <c r="D32" s="72"/>
      <c r="E32" s="74"/>
      <c r="F32" s="72"/>
      <c r="G32" s="72"/>
      <c r="H32" s="47"/>
      <c r="I32" s="48"/>
      <c r="J32" s="49"/>
      <c r="K32" s="49"/>
    </row>
    <row r="33" spans="2:12">
      <c r="B33" s="76" t="s">
        <v>356</v>
      </c>
      <c r="C33" s="74" t="s">
        <v>24</v>
      </c>
      <c r="D33" s="72">
        <v>15000000</v>
      </c>
      <c r="E33" s="70">
        <v>1</v>
      </c>
      <c r="F33" s="72">
        <f>D33*E33</f>
        <v>15000000</v>
      </c>
      <c r="G33" s="72">
        <f>F33/200</f>
        <v>75000</v>
      </c>
      <c r="H33" s="55">
        <v>2</v>
      </c>
      <c r="I33" s="56">
        <f>IF(H33=1,G33,0)</f>
        <v>0</v>
      </c>
      <c r="J33" s="56">
        <f>IF(H33=2,G33,0)</f>
        <v>75000</v>
      </c>
      <c r="K33" s="56">
        <f>IF(H33=3,G33,0)</f>
        <v>0</v>
      </c>
    </row>
    <row r="34" spans="2:12">
      <c r="B34" s="57" t="s">
        <v>357</v>
      </c>
      <c r="C34" s="63"/>
      <c r="D34" s="62"/>
      <c r="E34" s="63"/>
      <c r="F34" s="62"/>
      <c r="G34" s="62"/>
      <c r="H34" s="47"/>
      <c r="I34" s="48"/>
      <c r="J34" s="49"/>
      <c r="K34" s="49"/>
    </row>
    <row r="35" spans="2:12">
      <c r="B35" s="61" t="s">
        <v>56</v>
      </c>
      <c r="C35" s="58" t="s">
        <v>5</v>
      </c>
      <c r="D35" s="62">
        <v>105000</v>
      </c>
      <c r="E35" s="60">
        <v>1000</v>
      </c>
      <c r="F35" s="62">
        <f>D35*E35</f>
        <v>105000000</v>
      </c>
      <c r="G35" s="62">
        <f>F35/200</f>
        <v>525000</v>
      </c>
      <c r="H35" s="55">
        <v>3</v>
      </c>
      <c r="I35" s="56">
        <f>IF(H35=1,G35,0)</f>
        <v>0</v>
      </c>
      <c r="J35" s="56">
        <f>IF(H35=2,G35,0)</f>
        <v>0</v>
      </c>
      <c r="K35" s="56">
        <f>IF(H35=3,G35,0)</f>
        <v>525000</v>
      </c>
    </row>
    <row r="36" spans="2:12">
      <c r="B36" s="57" t="s">
        <v>358</v>
      </c>
      <c r="C36" s="58"/>
      <c r="D36" s="62"/>
      <c r="E36" s="60"/>
      <c r="F36" s="62"/>
      <c r="G36" s="62"/>
      <c r="H36" s="47"/>
      <c r="I36" s="48"/>
      <c r="J36" s="49"/>
      <c r="K36" s="49"/>
    </row>
    <row r="37" spans="2:12">
      <c r="B37" s="61" t="s">
        <v>283</v>
      </c>
      <c r="C37" s="58" t="s">
        <v>5</v>
      </c>
      <c r="D37" s="62">
        <f>D27</f>
        <v>105000</v>
      </c>
      <c r="E37" s="60">
        <v>210</v>
      </c>
      <c r="F37" s="62">
        <f>D37*E37</f>
        <v>22050000</v>
      </c>
      <c r="G37" s="62">
        <f>F37/200</f>
        <v>110250</v>
      </c>
      <c r="H37" s="55">
        <v>3</v>
      </c>
      <c r="I37" s="56">
        <f>IF(H37=1,G37,0)</f>
        <v>0</v>
      </c>
      <c r="J37" s="56">
        <f>IF(H37=2,G37,0)</f>
        <v>0</v>
      </c>
      <c r="K37" s="56">
        <f>IF(H37=3,G37,0)</f>
        <v>110250</v>
      </c>
    </row>
    <row r="38" spans="2:12">
      <c r="B38" s="61" t="s">
        <v>282</v>
      </c>
      <c r="C38" s="58" t="s">
        <v>24</v>
      </c>
      <c r="D38" s="62">
        <v>40000000</v>
      </c>
      <c r="E38" s="60">
        <v>1</v>
      </c>
      <c r="F38" s="62">
        <f>D38*E38</f>
        <v>40000000</v>
      </c>
      <c r="G38" s="62">
        <f>F38/200</f>
        <v>200000</v>
      </c>
      <c r="H38" s="55">
        <v>3</v>
      </c>
      <c r="I38" s="56">
        <f>IF(H38=1,G38,0)</f>
        <v>0</v>
      </c>
      <c r="J38" s="56">
        <f>IF(H38=2,G38,0)</f>
        <v>0</v>
      </c>
      <c r="K38" s="56">
        <f>IF(H38=3,G38,0)</f>
        <v>200000</v>
      </c>
    </row>
    <row r="39" spans="2:12">
      <c r="B39" s="57" t="s">
        <v>359</v>
      </c>
      <c r="C39" s="63"/>
      <c r="D39" s="60"/>
      <c r="E39" s="63"/>
      <c r="F39" s="60"/>
      <c r="G39" s="60"/>
      <c r="H39" s="47"/>
      <c r="I39" s="48"/>
      <c r="J39" s="49"/>
      <c r="K39" s="49"/>
    </row>
    <row r="40" spans="2:12">
      <c r="B40" s="61" t="s">
        <v>56</v>
      </c>
      <c r="C40" s="58" t="s">
        <v>1</v>
      </c>
      <c r="D40" s="62">
        <v>105000</v>
      </c>
      <c r="E40" s="60">
        <v>200</v>
      </c>
      <c r="F40" s="62">
        <f>D40*E40</f>
        <v>21000000</v>
      </c>
      <c r="G40" s="62">
        <f>F40/200</f>
        <v>105000</v>
      </c>
      <c r="H40" s="55">
        <v>3</v>
      </c>
      <c r="I40" s="56">
        <f>IF(H40=1,G40,0)</f>
        <v>0</v>
      </c>
      <c r="J40" s="56">
        <f>IF(H40=2,G40,0)</f>
        <v>0</v>
      </c>
      <c r="K40" s="56">
        <f>IF(H40=3,G40,0)</f>
        <v>105000</v>
      </c>
    </row>
    <row r="41" spans="2:12">
      <c r="B41" s="291" t="s">
        <v>39</v>
      </c>
      <c r="C41" s="292"/>
      <c r="D41" s="292"/>
      <c r="E41" s="293"/>
      <c r="F41" s="139">
        <f>SUM(F5:F14,F17,F25,F19,F22,F23,F27,F29,F31,F33,F35,F37,F38,F40)</f>
        <v>1062450000</v>
      </c>
      <c r="G41" s="139">
        <f>SUM(G5:G14,G17,G25,G19,G22,G23,G27,G29,G31,G33,G35,G37,G38,G40)</f>
        <v>5312250</v>
      </c>
      <c r="H41" s="64"/>
      <c r="I41" s="65">
        <f>SUM(I3:I40)</f>
        <v>1685500</v>
      </c>
      <c r="J41" s="66">
        <f>SUM(J3:J40)</f>
        <v>1018500</v>
      </c>
      <c r="K41" s="67">
        <f>SUM(K3:K40)</f>
        <v>2608250</v>
      </c>
      <c r="L41" s="36">
        <f>SUM(I41:K41)</f>
        <v>5312250</v>
      </c>
    </row>
    <row r="42" spans="2:12">
      <c r="B42" s="28"/>
      <c r="C42" s="28"/>
      <c r="D42" s="28"/>
      <c r="E42" s="28"/>
      <c r="F42" s="29"/>
      <c r="G42" s="29"/>
      <c r="H42" s="30"/>
      <c r="I42" s="31"/>
      <c r="J42" s="31"/>
      <c r="K42" s="31"/>
    </row>
    <row r="43" spans="2:12" ht="24" customHeight="1">
      <c r="B43" s="268" t="s">
        <v>105</v>
      </c>
      <c r="C43" s="269"/>
      <c r="D43" s="269"/>
      <c r="E43" s="270"/>
      <c r="F43" s="268" t="s">
        <v>9</v>
      </c>
      <c r="G43" s="270"/>
      <c r="H43" s="260" t="s">
        <v>108</v>
      </c>
      <c r="I43" s="262" t="s">
        <v>362</v>
      </c>
      <c r="J43" s="264" t="s">
        <v>363</v>
      </c>
      <c r="K43" s="258" t="s">
        <v>364</v>
      </c>
    </row>
    <row r="44" spans="2:12" ht="24" customHeight="1">
      <c r="B44" s="240" t="s">
        <v>2</v>
      </c>
      <c r="C44" s="240" t="s">
        <v>3</v>
      </c>
      <c r="D44" s="240" t="s">
        <v>4</v>
      </c>
      <c r="E44" s="240" t="s">
        <v>0</v>
      </c>
      <c r="F44" s="240" t="s">
        <v>10</v>
      </c>
      <c r="G44" s="240" t="s">
        <v>8</v>
      </c>
      <c r="H44" s="261"/>
      <c r="I44" s="263"/>
      <c r="J44" s="265"/>
      <c r="K44" s="259"/>
    </row>
    <row r="45" spans="2:12">
      <c r="B45" s="84" t="s">
        <v>314</v>
      </c>
      <c r="C45" s="85"/>
      <c r="D45" s="85"/>
      <c r="E45" s="85"/>
      <c r="F45" s="85"/>
      <c r="G45" s="86"/>
      <c r="H45" s="47"/>
      <c r="I45" s="48"/>
      <c r="J45" s="49"/>
      <c r="K45" s="49"/>
    </row>
    <row r="46" spans="2:12">
      <c r="B46" s="87" t="s">
        <v>102</v>
      </c>
      <c r="C46" s="51" t="s">
        <v>5</v>
      </c>
      <c r="D46" s="54">
        <v>60000</v>
      </c>
      <c r="E46" s="88">
        <v>175</v>
      </c>
      <c r="F46" s="52">
        <f t="shared" ref="F46:F51" si="0">D46*E46</f>
        <v>10500000</v>
      </c>
      <c r="G46" s="52">
        <f t="shared" ref="G46:G52" si="1">F46/200</f>
        <v>52500</v>
      </c>
      <c r="H46" s="47"/>
      <c r="I46" s="48"/>
      <c r="J46" s="49"/>
      <c r="K46" s="49"/>
    </row>
    <row r="47" spans="2:12">
      <c r="B47" s="87" t="s">
        <v>302</v>
      </c>
      <c r="C47" s="51" t="s">
        <v>17</v>
      </c>
      <c r="D47" s="54">
        <f>D70</f>
        <v>25000</v>
      </c>
      <c r="E47" s="88">
        <v>3500</v>
      </c>
      <c r="F47" s="52">
        <f t="shared" si="0"/>
        <v>87500000</v>
      </c>
      <c r="G47" s="52">
        <f t="shared" si="1"/>
        <v>437500</v>
      </c>
      <c r="H47" s="47"/>
      <c r="I47" s="48"/>
      <c r="J47" s="49"/>
      <c r="K47" s="49"/>
    </row>
    <row r="48" spans="2:12">
      <c r="B48" s="87" t="s">
        <v>278</v>
      </c>
      <c r="C48" s="51" t="s">
        <v>17</v>
      </c>
      <c r="D48" s="54">
        <v>70000</v>
      </c>
      <c r="E48" s="51">
        <f>E47*0.2</f>
        <v>700</v>
      </c>
      <c r="F48" s="52">
        <f t="shared" si="0"/>
        <v>49000000</v>
      </c>
      <c r="G48" s="52">
        <f t="shared" si="1"/>
        <v>245000</v>
      </c>
      <c r="H48" s="47"/>
      <c r="I48" s="48"/>
      <c r="J48" s="49"/>
      <c r="K48" s="49"/>
    </row>
    <row r="49" spans="1:11">
      <c r="B49" s="53" t="s">
        <v>279</v>
      </c>
      <c r="C49" s="51" t="s">
        <v>17</v>
      </c>
      <c r="D49" s="54">
        <v>50000</v>
      </c>
      <c r="E49" s="88">
        <f>E47*0.15</f>
        <v>525</v>
      </c>
      <c r="F49" s="52">
        <f t="shared" si="0"/>
        <v>26250000</v>
      </c>
      <c r="G49" s="52">
        <f t="shared" si="1"/>
        <v>131250</v>
      </c>
      <c r="H49" s="47"/>
      <c r="I49" s="48"/>
      <c r="J49" s="49"/>
      <c r="K49" s="49"/>
    </row>
    <row r="50" spans="1:11">
      <c r="B50" s="87" t="s">
        <v>254</v>
      </c>
      <c r="C50" s="51" t="s">
        <v>24</v>
      </c>
      <c r="D50" s="54">
        <v>350000</v>
      </c>
      <c r="E50" s="51">
        <v>14</v>
      </c>
      <c r="F50" s="52">
        <f t="shared" si="0"/>
        <v>4900000</v>
      </c>
      <c r="G50" s="52">
        <f t="shared" si="1"/>
        <v>24500</v>
      </c>
      <c r="H50" s="47"/>
      <c r="I50" s="48"/>
      <c r="J50" s="49"/>
      <c r="K50" s="49"/>
    </row>
    <row r="51" spans="1:11">
      <c r="B51" s="87" t="s">
        <v>73</v>
      </c>
      <c r="C51" s="51" t="s">
        <v>24</v>
      </c>
      <c r="D51" s="54">
        <v>2000000</v>
      </c>
      <c r="E51" s="51">
        <v>1</v>
      </c>
      <c r="F51" s="52">
        <f t="shared" si="0"/>
        <v>2000000</v>
      </c>
      <c r="G51" s="52">
        <f t="shared" si="1"/>
        <v>10000</v>
      </c>
      <c r="H51" s="47"/>
      <c r="I51" s="48"/>
      <c r="J51" s="49"/>
      <c r="K51" s="49"/>
    </row>
    <row r="52" spans="1:11">
      <c r="B52" s="288" t="s">
        <v>30</v>
      </c>
      <c r="C52" s="289"/>
      <c r="D52" s="289"/>
      <c r="E52" s="290"/>
      <c r="F52" s="229">
        <f>SUM(F46:F51)</f>
        <v>180150000</v>
      </c>
      <c r="G52" s="229">
        <f t="shared" si="1"/>
        <v>900750</v>
      </c>
      <c r="H52" s="55">
        <v>1</v>
      </c>
      <c r="I52" s="56">
        <f>IF(H52=1,G52,0)</f>
        <v>900750</v>
      </c>
      <c r="J52" s="56">
        <f>IF(H52=2,G52,0)</f>
        <v>0</v>
      </c>
      <c r="K52" s="56">
        <f>IF(H52=3,G52,0)</f>
        <v>0</v>
      </c>
    </row>
    <row r="53" spans="1:11">
      <c r="B53" s="84" t="s">
        <v>315</v>
      </c>
      <c r="C53" s="85"/>
      <c r="D53" s="85"/>
      <c r="E53" s="85"/>
      <c r="F53" s="85"/>
      <c r="G53" s="86"/>
      <c r="H53" s="47"/>
      <c r="I53" s="48"/>
      <c r="J53" s="49"/>
      <c r="K53" s="49"/>
    </row>
    <row r="54" spans="1:11" ht="30">
      <c r="A54" s="194" t="s">
        <v>298</v>
      </c>
      <c r="B54" s="68" t="s">
        <v>103</v>
      </c>
      <c r="C54" s="74" t="s">
        <v>5</v>
      </c>
      <c r="D54" s="70">
        <v>60000</v>
      </c>
      <c r="E54" s="69">
        <v>175</v>
      </c>
      <c r="F54" s="72">
        <f t="shared" ref="F54:F59" si="2">D54*E54</f>
        <v>10500000</v>
      </c>
      <c r="G54" s="72">
        <f t="shared" ref="G54:G60" si="3">F54/200</f>
        <v>52500</v>
      </c>
      <c r="H54" s="47"/>
      <c r="I54" s="48"/>
      <c r="J54" s="49"/>
      <c r="K54" s="49"/>
    </row>
    <row r="55" spans="1:11">
      <c r="A55" s="194" t="s">
        <v>299</v>
      </c>
      <c r="B55" s="68" t="s">
        <v>301</v>
      </c>
      <c r="C55" s="74" t="s">
        <v>17</v>
      </c>
      <c r="D55" s="70">
        <v>25000</v>
      </c>
      <c r="E55" s="69">
        <v>3500</v>
      </c>
      <c r="F55" s="72">
        <f t="shared" si="2"/>
        <v>87500000</v>
      </c>
      <c r="G55" s="72">
        <f t="shared" si="3"/>
        <v>437500</v>
      </c>
      <c r="H55" s="47"/>
      <c r="I55" s="48"/>
      <c r="J55" s="49"/>
      <c r="K55" s="49"/>
    </row>
    <row r="56" spans="1:11">
      <c r="A56" s="194" t="s">
        <v>300</v>
      </c>
      <c r="B56" s="68" t="s">
        <v>278</v>
      </c>
      <c r="C56" s="74" t="s">
        <v>17</v>
      </c>
      <c r="D56" s="70">
        <v>70000</v>
      </c>
      <c r="E56" s="74">
        <f>E55*0.2</f>
        <v>700</v>
      </c>
      <c r="F56" s="72">
        <f t="shared" si="2"/>
        <v>49000000</v>
      </c>
      <c r="G56" s="72">
        <f t="shared" si="3"/>
        <v>245000</v>
      </c>
      <c r="H56" s="47"/>
      <c r="I56" s="48"/>
      <c r="J56" s="49"/>
      <c r="K56" s="49"/>
    </row>
    <row r="57" spans="1:11">
      <c r="A57" s="194"/>
      <c r="B57" s="76" t="s">
        <v>279</v>
      </c>
      <c r="C57" s="74" t="s">
        <v>17</v>
      </c>
      <c r="D57" s="70">
        <v>50000</v>
      </c>
      <c r="E57" s="69">
        <f>E55*0.15</f>
        <v>525</v>
      </c>
      <c r="F57" s="72">
        <f t="shared" si="2"/>
        <v>26250000</v>
      </c>
      <c r="G57" s="72">
        <f t="shared" si="3"/>
        <v>131250</v>
      </c>
      <c r="H57" s="47"/>
      <c r="I57" s="48"/>
      <c r="J57" s="49"/>
      <c r="K57" s="49"/>
    </row>
    <row r="58" spans="1:11">
      <c r="A58" s="194"/>
      <c r="B58" s="68" t="s">
        <v>67</v>
      </c>
      <c r="C58" s="74" t="s">
        <v>24</v>
      </c>
      <c r="D58" s="70">
        <v>750000</v>
      </c>
      <c r="E58" s="74">
        <v>6</v>
      </c>
      <c r="F58" s="72">
        <f t="shared" si="2"/>
        <v>4500000</v>
      </c>
      <c r="G58" s="72">
        <f t="shared" si="3"/>
        <v>22500</v>
      </c>
      <c r="H58" s="47"/>
      <c r="I58" s="48"/>
      <c r="J58" s="49"/>
      <c r="K58" s="49"/>
    </row>
    <row r="59" spans="1:11">
      <c r="A59" s="194"/>
      <c r="B59" s="68" t="s">
        <v>73</v>
      </c>
      <c r="C59" s="74" t="s">
        <v>24</v>
      </c>
      <c r="D59" s="70">
        <v>2000000</v>
      </c>
      <c r="E59" s="74">
        <v>1</v>
      </c>
      <c r="F59" s="72">
        <f t="shared" si="2"/>
        <v>2000000</v>
      </c>
      <c r="G59" s="72">
        <f t="shared" si="3"/>
        <v>10000</v>
      </c>
      <c r="H59" s="47"/>
      <c r="I59" s="48"/>
      <c r="J59" s="49"/>
      <c r="K59" s="49"/>
    </row>
    <row r="60" spans="1:11">
      <c r="A60" s="194"/>
      <c r="B60" s="274" t="s">
        <v>59</v>
      </c>
      <c r="C60" s="275"/>
      <c r="D60" s="275"/>
      <c r="E60" s="276"/>
      <c r="F60" s="66">
        <f>SUM(F54:F59)</f>
        <v>179750000</v>
      </c>
      <c r="G60" s="66">
        <f t="shared" si="3"/>
        <v>898750</v>
      </c>
      <c r="H60" s="55">
        <v>2</v>
      </c>
      <c r="I60" s="56">
        <f>IF(H60=1,G60,0)</f>
        <v>0</v>
      </c>
      <c r="J60" s="56">
        <f>IF(H60=2,G60,0)</f>
        <v>898750</v>
      </c>
      <c r="K60" s="56">
        <f>IF(H60=3,G60,0)</f>
        <v>0</v>
      </c>
    </row>
    <row r="61" spans="1:11">
      <c r="B61" s="280" t="s">
        <v>316</v>
      </c>
      <c r="C61" s="281"/>
      <c r="D61" s="281"/>
      <c r="E61" s="281"/>
      <c r="F61" s="281"/>
      <c r="G61" s="282"/>
      <c r="H61" s="47"/>
      <c r="I61" s="49"/>
      <c r="J61" s="49"/>
      <c r="K61" s="49"/>
    </row>
    <row r="62" spans="1:11">
      <c r="B62" s="68" t="s">
        <v>42</v>
      </c>
      <c r="C62" s="69" t="s">
        <v>17</v>
      </c>
      <c r="D62" s="70">
        <v>2000</v>
      </c>
      <c r="E62" s="69">
        <v>3000</v>
      </c>
      <c r="F62" s="71">
        <f>D62*E62</f>
        <v>6000000</v>
      </c>
      <c r="G62" s="72">
        <f>F62/200</f>
        <v>30000</v>
      </c>
      <c r="H62" s="47"/>
      <c r="I62" s="49"/>
      <c r="J62" s="49"/>
      <c r="K62" s="49"/>
    </row>
    <row r="63" spans="1:11">
      <c r="B63" s="68" t="s">
        <v>58</v>
      </c>
      <c r="C63" s="69" t="s">
        <v>17</v>
      </c>
      <c r="D63" s="70">
        <v>4000</v>
      </c>
      <c r="E63" s="69">
        <v>3400</v>
      </c>
      <c r="F63" s="72">
        <f>D63*E63</f>
        <v>13600000</v>
      </c>
      <c r="G63" s="72">
        <f>F63/200</f>
        <v>68000</v>
      </c>
      <c r="H63" s="47"/>
      <c r="I63" s="49"/>
      <c r="J63" s="49"/>
      <c r="K63" s="49"/>
    </row>
    <row r="64" spans="1:11">
      <c r="B64" s="68" t="s">
        <v>18</v>
      </c>
      <c r="C64" s="69" t="s">
        <v>17</v>
      </c>
      <c r="D64" s="70">
        <v>5000</v>
      </c>
      <c r="E64" s="69">
        <v>3000</v>
      </c>
      <c r="F64" s="72">
        <f t="shared" ref="F64:F73" si="4">D64*E64</f>
        <v>15000000</v>
      </c>
      <c r="G64" s="72">
        <f>F64/200</f>
        <v>75000</v>
      </c>
      <c r="H64" s="47"/>
      <c r="I64" s="49"/>
      <c r="J64" s="49"/>
      <c r="K64" s="49"/>
    </row>
    <row r="65" spans="2:11">
      <c r="B65" s="73" t="s">
        <v>41</v>
      </c>
      <c r="C65" s="74"/>
      <c r="D65" s="70"/>
      <c r="E65" s="75"/>
      <c r="F65" s="72"/>
      <c r="G65" s="72"/>
      <c r="H65" s="47"/>
      <c r="I65" s="49"/>
      <c r="J65" s="49"/>
      <c r="K65" s="49"/>
    </row>
    <row r="66" spans="2:11">
      <c r="B66" s="76" t="s">
        <v>19</v>
      </c>
      <c r="C66" s="74" t="s">
        <v>5</v>
      </c>
      <c r="D66" s="70">
        <v>210000</v>
      </c>
      <c r="E66" s="69">
        <v>170</v>
      </c>
      <c r="F66" s="72">
        <f t="shared" si="4"/>
        <v>35700000</v>
      </c>
      <c r="G66" s="72">
        <f t="shared" ref="G66:G74" si="5">F66/200</f>
        <v>178500</v>
      </c>
      <c r="H66" s="47"/>
      <c r="I66" s="49"/>
      <c r="J66" s="49"/>
      <c r="K66" s="49"/>
    </row>
    <row r="67" spans="2:11">
      <c r="B67" s="76" t="s">
        <v>43</v>
      </c>
      <c r="C67" s="74" t="s">
        <v>17</v>
      </c>
      <c r="D67" s="70">
        <v>15000</v>
      </c>
      <c r="E67" s="69">
        <v>1000</v>
      </c>
      <c r="F67" s="72">
        <f t="shared" si="4"/>
        <v>15000000</v>
      </c>
      <c r="G67" s="72">
        <f t="shared" si="5"/>
        <v>75000</v>
      </c>
      <c r="H67" s="47"/>
      <c r="I67" s="49"/>
      <c r="J67" s="49"/>
      <c r="K67" s="49"/>
    </row>
    <row r="68" spans="2:11">
      <c r="B68" s="76" t="s">
        <v>6</v>
      </c>
      <c r="C68" s="74" t="s">
        <v>5</v>
      </c>
      <c r="D68" s="70">
        <v>21000</v>
      </c>
      <c r="E68" s="69">
        <v>200</v>
      </c>
      <c r="F68" s="72">
        <f t="shared" si="4"/>
        <v>4200000</v>
      </c>
      <c r="G68" s="72">
        <f t="shared" si="5"/>
        <v>21000</v>
      </c>
      <c r="H68" s="47"/>
      <c r="I68" s="49"/>
      <c r="J68" s="49"/>
      <c r="K68" s="49"/>
    </row>
    <row r="69" spans="2:11">
      <c r="B69" s="73" t="s">
        <v>26</v>
      </c>
      <c r="C69" s="74"/>
      <c r="D69" s="70"/>
      <c r="E69" s="75"/>
      <c r="F69" s="72"/>
      <c r="G69" s="72"/>
      <c r="H69" s="47"/>
      <c r="I69" s="49"/>
      <c r="J69" s="49"/>
      <c r="K69" s="49"/>
    </row>
    <row r="70" spans="2:11">
      <c r="B70" s="76" t="s">
        <v>20</v>
      </c>
      <c r="C70" s="74" t="s">
        <v>17</v>
      </c>
      <c r="D70" s="70">
        <v>25000</v>
      </c>
      <c r="E70" s="69">
        <v>700</v>
      </c>
      <c r="F70" s="72">
        <f t="shared" si="4"/>
        <v>17500000</v>
      </c>
      <c r="G70" s="72">
        <f t="shared" si="5"/>
        <v>87500</v>
      </c>
      <c r="H70" s="47"/>
      <c r="I70" s="49"/>
      <c r="J70" s="49"/>
      <c r="K70" s="49"/>
    </row>
    <row r="71" spans="2:11">
      <c r="B71" s="76" t="s">
        <v>21</v>
      </c>
      <c r="C71" s="74" t="s">
        <v>17</v>
      </c>
      <c r="D71" s="70">
        <v>50000</v>
      </c>
      <c r="E71" s="69">
        <v>1300</v>
      </c>
      <c r="F71" s="72">
        <f t="shared" si="4"/>
        <v>65000000</v>
      </c>
      <c r="G71" s="72">
        <f t="shared" si="5"/>
        <v>325000</v>
      </c>
      <c r="H71" s="47"/>
      <c r="I71" s="49"/>
      <c r="J71" s="49"/>
      <c r="K71" s="49"/>
    </row>
    <row r="72" spans="2:11">
      <c r="B72" s="68" t="s">
        <v>22</v>
      </c>
      <c r="C72" s="74" t="s">
        <v>17</v>
      </c>
      <c r="D72" s="70">
        <v>70000</v>
      </c>
      <c r="E72" s="74">
        <v>1000</v>
      </c>
      <c r="F72" s="72">
        <f t="shared" si="4"/>
        <v>70000000</v>
      </c>
      <c r="G72" s="72">
        <f t="shared" si="5"/>
        <v>350000</v>
      </c>
      <c r="H72" s="47"/>
      <c r="I72" s="49"/>
      <c r="J72" s="49"/>
      <c r="K72" s="49"/>
    </row>
    <row r="73" spans="2:11">
      <c r="B73" s="68" t="s">
        <v>23</v>
      </c>
      <c r="C73" s="74" t="s">
        <v>24</v>
      </c>
      <c r="D73" s="70">
        <v>4000000</v>
      </c>
      <c r="E73" s="74">
        <v>1</v>
      </c>
      <c r="F73" s="72">
        <f t="shared" si="4"/>
        <v>4000000</v>
      </c>
      <c r="G73" s="72">
        <f t="shared" si="5"/>
        <v>20000</v>
      </c>
      <c r="H73" s="47"/>
      <c r="I73" s="49"/>
      <c r="J73" s="49"/>
      <c r="K73" s="49"/>
    </row>
    <row r="74" spans="2:11">
      <c r="B74" s="274" t="s">
        <v>29</v>
      </c>
      <c r="C74" s="275"/>
      <c r="D74" s="275"/>
      <c r="E74" s="276"/>
      <c r="F74" s="66">
        <f>SUM(F62:F64,F66:F68,F70:F73)</f>
        <v>246000000</v>
      </c>
      <c r="G74" s="66">
        <f t="shared" si="5"/>
        <v>1230000</v>
      </c>
      <c r="H74" s="55">
        <v>2</v>
      </c>
      <c r="I74" s="56">
        <f>IF(H74=1,G74,0)</f>
        <v>0</v>
      </c>
      <c r="J74" s="56">
        <f>IF(H74=2,G74,0)</f>
        <v>1230000</v>
      </c>
      <c r="K74" s="56">
        <f>IF(H74=3,G74,0)</f>
        <v>0</v>
      </c>
    </row>
    <row r="75" spans="2:11">
      <c r="B75" s="280" t="s">
        <v>317</v>
      </c>
      <c r="C75" s="281"/>
      <c r="D75" s="281"/>
      <c r="E75" s="281"/>
      <c r="F75" s="281"/>
      <c r="G75" s="282"/>
      <c r="H75" s="47"/>
      <c r="I75" s="48"/>
      <c r="J75" s="49"/>
      <c r="K75" s="49"/>
    </row>
    <row r="76" spans="2:11">
      <c r="B76" s="68" t="s">
        <v>280</v>
      </c>
      <c r="C76" s="74" t="s">
        <v>17</v>
      </c>
      <c r="D76" s="70">
        <v>25000</v>
      </c>
      <c r="E76" s="69">
        <v>1000</v>
      </c>
      <c r="F76" s="72">
        <f>D76*E76</f>
        <v>25000000</v>
      </c>
      <c r="G76" s="72">
        <f>F76/200</f>
        <v>125000</v>
      </c>
      <c r="H76" s="47"/>
      <c r="I76" s="48"/>
      <c r="J76" s="49"/>
      <c r="K76" s="49"/>
    </row>
    <row r="77" spans="2:11">
      <c r="B77" s="76" t="s">
        <v>68</v>
      </c>
      <c r="C77" s="74" t="s">
        <v>17</v>
      </c>
      <c r="D77" s="70">
        <v>50000</v>
      </c>
      <c r="E77" s="69">
        <v>160</v>
      </c>
      <c r="F77" s="72">
        <f>D77*E77</f>
        <v>8000000</v>
      </c>
      <c r="G77" s="72">
        <f>F77/200</f>
        <v>40000</v>
      </c>
      <c r="H77" s="47"/>
      <c r="I77" s="48"/>
      <c r="J77" s="49"/>
      <c r="K77" s="49"/>
    </row>
    <row r="78" spans="2:11">
      <c r="B78" s="68" t="s">
        <v>69</v>
      </c>
      <c r="C78" s="74" t="s">
        <v>17</v>
      </c>
      <c r="D78" s="70">
        <v>70000</v>
      </c>
      <c r="E78" s="74">
        <v>200</v>
      </c>
      <c r="F78" s="72">
        <f>D78*E78</f>
        <v>14000000</v>
      </c>
      <c r="G78" s="72">
        <f>F78/200</f>
        <v>70000</v>
      </c>
      <c r="H78" s="47"/>
      <c r="I78" s="48"/>
      <c r="J78" s="49"/>
      <c r="K78" s="49"/>
    </row>
    <row r="79" spans="2:11">
      <c r="B79" s="68" t="s">
        <v>67</v>
      </c>
      <c r="C79" s="74" t="s">
        <v>24</v>
      </c>
      <c r="D79" s="70">
        <v>750000</v>
      </c>
      <c r="E79" s="74">
        <v>12</v>
      </c>
      <c r="F79" s="72">
        <f>D79*E79</f>
        <v>9000000</v>
      </c>
      <c r="G79" s="72">
        <f>F79/200</f>
        <v>45000</v>
      </c>
      <c r="H79" s="47"/>
      <c r="I79" s="48"/>
      <c r="J79" s="49"/>
      <c r="K79" s="49"/>
    </row>
    <row r="80" spans="2:11">
      <c r="B80" s="283" t="s">
        <v>71</v>
      </c>
      <c r="C80" s="283"/>
      <c r="D80" s="283"/>
      <c r="E80" s="283"/>
      <c r="F80" s="66">
        <f>SUM(F76:F79)</f>
        <v>56000000</v>
      </c>
      <c r="G80" s="66">
        <f>F80/200</f>
        <v>280000</v>
      </c>
      <c r="H80" s="55">
        <v>2</v>
      </c>
      <c r="I80" s="56">
        <f>IF(H80=1,G80,0)</f>
        <v>0</v>
      </c>
      <c r="J80" s="56">
        <f>IF(H80=2,G80,0)</f>
        <v>280000</v>
      </c>
      <c r="K80" s="56">
        <f>IF(H80=3,G80,0)</f>
        <v>0</v>
      </c>
    </row>
    <row r="81" spans="2:12">
      <c r="B81" s="84" t="s">
        <v>318</v>
      </c>
      <c r="C81" s="85"/>
      <c r="D81" s="85"/>
      <c r="E81" s="85"/>
      <c r="F81" s="85"/>
      <c r="G81" s="86"/>
      <c r="H81" s="47"/>
      <c r="I81" s="48"/>
      <c r="J81" s="49"/>
      <c r="K81" s="49"/>
    </row>
    <row r="82" spans="2:12">
      <c r="B82" s="53" t="s">
        <v>61</v>
      </c>
      <c r="C82" s="51" t="s">
        <v>17</v>
      </c>
      <c r="D82" s="54">
        <v>15000</v>
      </c>
      <c r="E82" s="88">
        <v>500</v>
      </c>
      <c r="F82" s="52">
        <f>D82*E82</f>
        <v>7500000</v>
      </c>
      <c r="G82" s="52">
        <f>F82/200</f>
        <v>37500</v>
      </c>
      <c r="H82" s="47"/>
      <c r="I82" s="48"/>
      <c r="J82" s="49"/>
      <c r="K82" s="49"/>
    </row>
    <row r="83" spans="2:12">
      <c r="B83" s="53" t="s">
        <v>276</v>
      </c>
      <c r="C83" s="51" t="s">
        <v>17</v>
      </c>
      <c r="D83" s="54">
        <v>40000</v>
      </c>
      <c r="E83" s="88">
        <v>50</v>
      </c>
      <c r="F83" s="52">
        <f>D83*E83</f>
        <v>2000000</v>
      </c>
      <c r="G83" s="52">
        <f>F83/200</f>
        <v>10000</v>
      </c>
      <c r="H83" s="47"/>
      <c r="I83" s="48"/>
      <c r="J83" s="49"/>
      <c r="K83" s="49"/>
    </row>
    <row r="84" spans="2:12">
      <c r="B84" s="288" t="s">
        <v>131</v>
      </c>
      <c r="C84" s="289"/>
      <c r="D84" s="289"/>
      <c r="E84" s="290"/>
      <c r="F84" s="65">
        <f>SUM(F82:F83)</f>
        <v>9500000</v>
      </c>
      <c r="G84" s="65">
        <f>F84/200</f>
        <v>47500</v>
      </c>
      <c r="H84" s="55">
        <v>1</v>
      </c>
      <c r="I84" s="56">
        <f>IF(H84=1,G84,0)</f>
        <v>47500</v>
      </c>
      <c r="J84" s="56">
        <f>IF(H84=2,G84,0)</f>
        <v>0</v>
      </c>
      <c r="K84" s="56">
        <f>IF(H84=3,G84,0)</f>
        <v>0</v>
      </c>
    </row>
    <row r="85" spans="2:12">
      <c r="B85" s="280" t="s">
        <v>319</v>
      </c>
      <c r="C85" s="281"/>
      <c r="D85" s="281"/>
      <c r="E85" s="281"/>
      <c r="F85" s="281"/>
      <c r="G85" s="282"/>
      <c r="H85" s="47"/>
      <c r="I85" s="48"/>
      <c r="J85" s="49"/>
      <c r="K85" s="49"/>
    </row>
    <row r="86" spans="2:12">
      <c r="B86" s="61" t="s">
        <v>31</v>
      </c>
      <c r="C86" s="58" t="s">
        <v>17</v>
      </c>
      <c r="D86" s="60">
        <v>30000</v>
      </c>
      <c r="E86" s="78">
        <v>2000</v>
      </c>
      <c r="F86" s="62">
        <f>D86*E86</f>
        <v>60000000</v>
      </c>
      <c r="G86" s="62">
        <f>F86/200</f>
        <v>300000</v>
      </c>
      <c r="H86" s="47"/>
      <c r="I86" s="48"/>
      <c r="J86" s="49"/>
      <c r="K86" s="49"/>
    </row>
    <row r="87" spans="2:12">
      <c r="B87" s="61" t="s">
        <v>32</v>
      </c>
      <c r="C87" s="58" t="s">
        <v>17</v>
      </c>
      <c r="D87" s="60">
        <v>70000</v>
      </c>
      <c r="E87" s="78">
        <v>100</v>
      </c>
      <c r="F87" s="62">
        <f>D87*E87</f>
        <v>7000000</v>
      </c>
      <c r="G87" s="62">
        <f>F87/200</f>
        <v>35000</v>
      </c>
      <c r="H87" s="47"/>
      <c r="I87" s="48"/>
      <c r="J87" s="49"/>
      <c r="K87" s="49"/>
    </row>
    <row r="88" spans="2:12">
      <c r="B88" s="61" t="s">
        <v>33</v>
      </c>
      <c r="C88" s="58" t="s">
        <v>5</v>
      </c>
      <c r="D88" s="60">
        <v>40000</v>
      </c>
      <c r="E88" s="78">
        <v>180</v>
      </c>
      <c r="F88" s="62">
        <f>D88*E88</f>
        <v>7200000</v>
      </c>
      <c r="G88" s="62">
        <f>F88/200</f>
        <v>36000</v>
      </c>
      <c r="H88" s="47"/>
      <c r="I88" s="48"/>
      <c r="J88" s="49"/>
      <c r="K88" s="49"/>
    </row>
    <row r="89" spans="2:12">
      <c r="B89" s="277" t="s">
        <v>107</v>
      </c>
      <c r="C89" s="278"/>
      <c r="D89" s="278"/>
      <c r="E89" s="279"/>
      <c r="F89" s="67">
        <f>SUM(F86:F88)</f>
        <v>74200000</v>
      </c>
      <c r="G89" s="67">
        <f>F89/200</f>
        <v>371000</v>
      </c>
      <c r="H89" s="55">
        <v>3</v>
      </c>
      <c r="I89" s="56">
        <f>IF(H89=1,G89,0)</f>
        <v>0</v>
      </c>
      <c r="J89" s="56">
        <f>IF(H89=2,G89,0)</f>
        <v>0</v>
      </c>
      <c r="K89" s="56">
        <f>IF(H89=3,G89,0)</f>
        <v>371000</v>
      </c>
    </row>
    <row r="90" spans="2:12">
      <c r="B90" s="280" t="s">
        <v>320</v>
      </c>
      <c r="C90" s="281"/>
      <c r="D90" s="281"/>
      <c r="E90" s="281"/>
      <c r="F90" s="281"/>
      <c r="G90" s="282"/>
      <c r="H90" s="47"/>
      <c r="I90" s="48"/>
      <c r="J90" s="49"/>
      <c r="K90" s="49"/>
    </row>
    <row r="91" spans="2:12">
      <c r="B91" s="61" t="s">
        <v>62</v>
      </c>
      <c r="C91" s="58" t="s">
        <v>17</v>
      </c>
      <c r="D91" s="60">
        <v>15000</v>
      </c>
      <c r="E91" s="78">
        <v>500</v>
      </c>
      <c r="F91" s="62">
        <f>D91*E91</f>
        <v>7500000</v>
      </c>
      <c r="G91" s="62">
        <f>F91/200</f>
        <v>37500</v>
      </c>
      <c r="H91" s="47"/>
      <c r="I91" s="48"/>
      <c r="J91" s="49"/>
      <c r="K91" s="49"/>
    </row>
    <row r="92" spans="2:12">
      <c r="B92" s="61" t="s">
        <v>65</v>
      </c>
      <c r="C92" s="58" t="s">
        <v>17</v>
      </c>
      <c r="D92" s="60">
        <v>65000</v>
      </c>
      <c r="E92" s="58">
        <v>120</v>
      </c>
      <c r="F92" s="62">
        <f>D92*E92</f>
        <v>7800000</v>
      </c>
      <c r="G92" s="62">
        <f>F92/200</f>
        <v>39000</v>
      </c>
      <c r="H92" s="47"/>
      <c r="I92" s="48"/>
      <c r="J92" s="49"/>
      <c r="K92" s="49"/>
    </row>
    <row r="93" spans="2:12">
      <c r="B93" s="277" t="s">
        <v>277</v>
      </c>
      <c r="C93" s="278"/>
      <c r="D93" s="278"/>
      <c r="E93" s="279"/>
      <c r="F93" s="67">
        <f>SUM(F91:F92)</f>
        <v>15300000</v>
      </c>
      <c r="G93" s="67">
        <f>F93/200</f>
        <v>76500</v>
      </c>
      <c r="H93" s="55">
        <v>3</v>
      </c>
      <c r="I93" s="56">
        <f>IF(H93=1,G93,0)</f>
        <v>0</v>
      </c>
      <c r="J93" s="56">
        <f>IF(H93=2,G93,0)</f>
        <v>0</v>
      </c>
      <c r="K93" s="56">
        <f>IF(H93=3,G93,0)</f>
        <v>76500</v>
      </c>
    </row>
    <row r="94" spans="2:12">
      <c r="B94" s="271" t="s">
        <v>39</v>
      </c>
      <c r="C94" s="272"/>
      <c r="D94" s="272"/>
      <c r="E94" s="273"/>
      <c r="F94" s="56">
        <f>SUM(F93,F84,F89,F80,F60,F52,F74)</f>
        <v>760900000</v>
      </c>
      <c r="G94" s="56">
        <f>SUM(G93,G84,G89,G80,G60,G52,G74)</f>
        <v>3804500</v>
      </c>
      <c r="H94" s="47"/>
      <c r="I94" s="65">
        <f>I74+I52+I60+I80+I89+I84+I93</f>
        <v>948250</v>
      </c>
      <c r="J94" s="66">
        <f>J74+J52+J60+J80+J89+J84+J93</f>
        <v>2408750</v>
      </c>
      <c r="K94" s="67">
        <f>K74+K52+K60+K80+K89+K84+K93</f>
        <v>447500</v>
      </c>
      <c r="L94" s="36">
        <f>SUM(I94:K94)</f>
        <v>3804500</v>
      </c>
    </row>
    <row r="95" spans="2:12">
      <c r="B95" s="79"/>
      <c r="C95" s="79"/>
      <c r="D95" s="79"/>
      <c r="E95" s="79"/>
      <c r="F95" s="80"/>
      <c r="G95" s="80"/>
      <c r="H95" s="81"/>
      <c r="J95" s="32"/>
      <c r="K95" s="32"/>
    </row>
    <row r="96" spans="2:12">
      <c r="B96" s="82"/>
      <c r="C96" s="82"/>
      <c r="D96" s="82"/>
      <c r="E96" s="82"/>
      <c r="F96" s="83"/>
      <c r="G96" s="83"/>
      <c r="H96" s="81"/>
      <c r="I96" s="80"/>
      <c r="J96" s="80"/>
      <c r="K96" s="80"/>
      <c r="L96" s="36"/>
    </row>
    <row r="97" spans="2:11" ht="24" customHeight="1">
      <c r="B97" s="268" t="s">
        <v>225</v>
      </c>
      <c r="C97" s="269"/>
      <c r="D97" s="269"/>
      <c r="E97" s="270"/>
      <c r="F97" s="268" t="s">
        <v>9</v>
      </c>
      <c r="G97" s="270"/>
      <c r="H97" s="260" t="s">
        <v>108</v>
      </c>
      <c r="I97" s="262" t="s">
        <v>362</v>
      </c>
      <c r="J97" s="264" t="s">
        <v>363</v>
      </c>
      <c r="K97" s="258" t="s">
        <v>364</v>
      </c>
    </row>
    <row r="98" spans="2:11" ht="24" customHeight="1">
      <c r="B98" s="240" t="s">
        <v>2</v>
      </c>
      <c r="C98" s="240" t="s">
        <v>3</v>
      </c>
      <c r="D98" s="240" t="s">
        <v>4</v>
      </c>
      <c r="E98" s="240" t="s">
        <v>0</v>
      </c>
      <c r="F98" s="240" t="s">
        <v>10</v>
      </c>
      <c r="G98" s="240" t="s">
        <v>8</v>
      </c>
      <c r="H98" s="261"/>
      <c r="I98" s="263"/>
      <c r="J98" s="265"/>
      <c r="K98" s="259"/>
    </row>
    <row r="99" spans="2:11">
      <c r="B99" s="84" t="s">
        <v>77</v>
      </c>
      <c r="C99" s="85"/>
      <c r="D99" s="85"/>
      <c r="E99" s="85"/>
      <c r="F99" s="85"/>
      <c r="G99" s="86"/>
      <c r="H99" s="47"/>
      <c r="I99" s="49"/>
      <c r="J99" s="49"/>
      <c r="K99" s="49"/>
    </row>
    <row r="100" spans="2:11">
      <c r="B100" s="68" t="s">
        <v>321</v>
      </c>
      <c r="C100" s="69" t="s">
        <v>24</v>
      </c>
      <c r="D100" s="70">
        <v>120000000</v>
      </c>
      <c r="E100" s="69">
        <v>1</v>
      </c>
      <c r="F100" s="72">
        <f>D100*E100</f>
        <v>120000000</v>
      </c>
      <c r="G100" s="91">
        <f>F100/200</f>
        <v>600000</v>
      </c>
      <c r="H100" s="55">
        <v>2</v>
      </c>
      <c r="I100" s="56">
        <f>IF(H100=1,G100,0)</f>
        <v>0</v>
      </c>
      <c r="J100" s="56">
        <f>IF(H100=2,G100,0)</f>
        <v>600000</v>
      </c>
      <c r="K100" s="56">
        <f>IF(H100=3,G100,0)</f>
        <v>0</v>
      </c>
    </row>
    <row r="101" spans="2:11">
      <c r="B101" s="77" t="s">
        <v>332</v>
      </c>
      <c r="C101" s="78" t="s">
        <v>24</v>
      </c>
      <c r="D101" s="60">
        <v>400000000</v>
      </c>
      <c r="E101" s="78">
        <v>1</v>
      </c>
      <c r="F101" s="62">
        <f>D101*E101</f>
        <v>400000000</v>
      </c>
      <c r="G101" s="222">
        <f>F101/200</f>
        <v>2000000</v>
      </c>
      <c r="H101" s="55">
        <v>3</v>
      </c>
      <c r="I101" s="56">
        <f>IF(H101=1,G101,0)</f>
        <v>0</v>
      </c>
      <c r="J101" s="56">
        <f>IF(H101=2,G101,0)</f>
        <v>0</v>
      </c>
      <c r="K101" s="56">
        <f>IF(H101=3,G101,0)</f>
        <v>2000000</v>
      </c>
    </row>
    <row r="102" spans="2:11">
      <c r="B102" s="84" t="s">
        <v>80</v>
      </c>
      <c r="C102" s="85"/>
      <c r="D102" s="85"/>
      <c r="E102" s="85"/>
      <c r="F102" s="85"/>
      <c r="G102" s="86"/>
      <c r="H102" s="89"/>
      <c r="I102" s="90"/>
      <c r="J102" s="49"/>
      <c r="K102" s="49"/>
    </row>
    <row r="103" spans="2:11">
      <c r="B103" s="77" t="s">
        <v>322</v>
      </c>
      <c r="C103" s="78" t="s">
        <v>17</v>
      </c>
      <c r="D103" s="60">
        <v>120000</v>
      </c>
      <c r="E103" s="78">
        <v>800</v>
      </c>
      <c r="F103" s="62">
        <f>E103*D103</f>
        <v>96000000</v>
      </c>
      <c r="G103" s="222">
        <f>F103/200</f>
        <v>480000</v>
      </c>
      <c r="H103" s="55">
        <v>3</v>
      </c>
      <c r="I103" s="56">
        <f>IF(H103=1,G103,0)</f>
        <v>0</v>
      </c>
      <c r="J103" s="56">
        <f>IF(H103=2,G103,0)</f>
        <v>0</v>
      </c>
      <c r="K103" s="56">
        <f>IF(H103=3,G103,0)</f>
        <v>480000</v>
      </c>
    </row>
    <row r="104" spans="2:11">
      <c r="B104" s="77" t="s">
        <v>323</v>
      </c>
      <c r="C104" s="78" t="s">
        <v>17</v>
      </c>
      <c r="D104" s="60">
        <v>120000</v>
      </c>
      <c r="E104" s="78">
        <v>500</v>
      </c>
      <c r="F104" s="62">
        <f>E104*D104</f>
        <v>60000000</v>
      </c>
      <c r="G104" s="222">
        <f>F104/200</f>
        <v>300000</v>
      </c>
      <c r="H104" s="55">
        <v>3</v>
      </c>
      <c r="I104" s="56">
        <f>IF(H104=1,G104,0)</f>
        <v>0</v>
      </c>
      <c r="J104" s="56">
        <f>IF(H104=2,G104,0)</f>
        <v>0</v>
      </c>
      <c r="K104" s="56">
        <f>IF(H104=3,G104,0)</f>
        <v>300000</v>
      </c>
    </row>
    <row r="105" spans="2:11">
      <c r="B105" s="84" t="s">
        <v>36</v>
      </c>
      <c r="C105" s="85"/>
      <c r="D105" s="85"/>
      <c r="E105" s="85"/>
      <c r="F105" s="85"/>
      <c r="G105" s="86"/>
      <c r="H105" s="89"/>
      <c r="I105" s="90"/>
      <c r="J105" s="49"/>
      <c r="K105" s="49"/>
    </row>
    <row r="106" spans="2:11">
      <c r="B106" s="68" t="s">
        <v>324</v>
      </c>
      <c r="C106" s="69" t="s">
        <v>17</v>
      </c>
      <c r="D106" s="70">
        <v>120000</v>
      </c>
      <c r="E106" s="69">
        <v>400</v>
      </c>
      <c r="F106" s="72">
        <f>D106*E106</f>
        <v>48000000</v>
      </c>
      <c r="G106" s="91">
        <f>F106/200</f>
        <v>240000</v>
      </c>
      <c r="H106" s="55">
        <v>2</v>
      </c>
      <c r="I106" s="56">
        <f>IF(H106=1,G106,0)</f>
        <v>0</v>
      </c>
      <c r="J106" s="56">
        <f>IF(H106=2,G106,0)</f>
        <v>240000</v>
      </c>
      <c r="K106" s="56">
        <f>IF(H106=3,G106,0)</f>
        <v>0</v>
      </c>
    </row>
    <row r="107" spans="2:11">
      <c r="B107" s="84" t="s">
        <v>326</v>
      </c>
      <c r="C107" s="85"/>
      <c r="D107" s="85"/>
      <c r="E107" s="85"/>
      <c r="F107" s="85"/>
      <c r="G107" s="86"/>
      <c r="H107" s="89"/>
      <c r="I107" s="90"/>
      <c r="J107" s="49"/>
      <c r="K107" s="49"/>
    </row>
    <row r="108" spans="2:11">
      <c r="B108" s="87" t="s">
        <v>272</v>
      </c>
      <c r="C108" s="51" t="s">
        <v>5</v>
      </c>
      <c r="D108" s="54">
        <v>21000</v>
      </c>
      <c r="E108" s="224">
        <f>2*740</f>
        <v>1480</v>
      </c>
      <c r="F108" s="52">
        <f t="shared" ref="F108:F121" si="6">D108*E108</f>
        <v>31080000</v>
      </c>
      <c r="G108" s="52">
        <f t="shared" ref="G108:G121" si="7">F108/200</f>
        <v>155400</v>
      </c>
      <c r="H108" s="55">
        <v>1</v>
      </c>
      <c r="I108" s="56">
        <f t="shared" ref="I108:I121" si="8">IF(H108=1,G108,0)</f>
        <v>155400</v>
      </c>
      <c r="J108" s="56">
        <f t="shared" ref="J108:J121" si="9">IF(H108=2,G108,0)</f>
        <v>0</v>
      </c>
      <c r="K108" s="56">
        <f t="shared" ref="K108:K121" si="10">IF(H108=3,G108,0)</f>
        <v>0</v>
      </c>
    </row>
    <row r="109" spans="2:11">
      <c r="B109" s="87" t="s">
        <v>285</v>
      </c>
      <c r="C109" s="51" t="s">
        <v>5</v>
      </c>
      <c r="D109" s="54">
        <v>15000</v>
      </c>
      <c r="E109" s="224">
        <f>E5</f>
        <v>1150</v>
      </c>
      <c r="F109" s="52">
        <f t="shared" si="6"/>
        <v>17250000</v>
      </c>
      <c r="G109" s="52">
        <f t="shared" si="7"/>
        <v>86250</v>
      </c>
      <c r="H109" s="55">
        <v>1</v>
      </c>
      <c r="I109" s="56">
        <f t="shared" si="8"/>
        <v>86250</v>
      </c>
      <c r="J109" s="56">
        <f t="shared" si="9"/>
        <v>0</v>
      </c>
      <c r="K109" s="56">
        <f t="shared" si="10"/>
        <v>0</v>
      </c>
    </row>
    <row r="110" spans="2:11">
      <c r="B110" s="76" t="s">
        <v>287</v>
      </c>
      <c r="C110" s="69" t="s">
        <v>5</v>
      </c>
      <c r="D110" s="70">
        <f>D108</f>
        <v>21000</v>
      </c>
      <c r="E110" s="225">
        <f>E8</f>
        <v>290</v>
      </c>
      <c r="F110" s="72">
        <f t="shared" si="6"/>
        <v>6090000</v>
      </c>
      <c r="G110" s="91">
        <f t="shared" si="7"/>
        <v>30450</v>
      </c>
      <c r="H110" s="55">
        <v>2</v>
      </c>
      <c r="I110" s="56">
        <f t="shared" si="8"/>
        <v>0</v>
      </c>
      <c r="J110" s="56">
        <f t="shared" si="9"/>
        <v>30450</v>
      </c>
      <c r="K110" s="56">
        <f t="shared" si="10"/>
        <v>0</v>
      </c>
    </row>
    <row r="111" spans="2:11">
      <c r="B111" s="68" t="s">
        <v>273</v>
      </c>
      <c r="C111" s="69" t="s">
        <v>5</v>
      </c>
      <c r="D111" s="70">
        <v>15000</v>
      </c>
      <c r="E111" s="225">
        <f>E27</f>
        <v>530</v>
      </c>
      <c r="F111" s="72">
        <f t="shared" si="6"/>
        <v>7950000</v>
      </c>
      <c r="G111" s="91">
        <f t="shared" si="7"/>
        <v>39750</v>
      </c>
      <c r="H111" s="55">
        <v>2</v>
      </c>
      <c r="I111" s="56">
        <f t="shared" si="8"/>
        <v>0</v>
      </c>
      <c r="J111" s="56">
        <f t="shared" si="9"/>
        <v>39750</v>
      </c>
      <c r="K111" s="56">
        <f t="shared" si="10"/>
        <v>0</v>
      </c>
    </row>
    <row r="112" spans="2:11">
      <c r="B112" s="68" t="s">
        <v>267</v>
      </c>
      <c r="C112" s="69" t="s">
        <v>5</v>
      </c>
      <c r="D112" s="70">
        <v>15000</v>
      </c>
      <c r="E112" s="225">
        <f>E29</f>
        <v>290</v>
      </c>
      <c r="F112" s="72">
        <f t="shared" si="6"/>
        <v>4350000</v>
      </c>
      <c r="G112" s="91">
        <f t="shared" si="7"/>
        <v>21750</v>
      </c>
      <c r="H112" s="55">
        <v>2</v>
      </c>
      <c r="I112" s="56">
        <f t="shared" si="8"/>
        <v>0</v>
      </c>
      <c r="J112" s="56">
        <f t="shared" si="9"/>
        <v>21750</v>
      </c>
      <c r="K112" s="56">
        <f t="shared" si="10"/>
        <v>0</v>
      </c>
    </row>
    <row r="113" spans="2:36">
      <c r="B113" s="68" t="s">
        <v>286</v>
      </c>
      <c r="C113" s="69" t="s">
        <v>5</v>
      </c>
      <c r="D113" s="70">
        <v>15000</v>
      </c>
      <c r="E113" s="225">
        <f>E31</f>
        <v>600</v>
      </c>
      <c r="F113" s="72">
        <f t="shared" si="6"/>
        <v>9000000</v>
      </c>
      <c r="G113" s="91">
        <f t="shared" si="7"/>
        <v>45000</v>
      </c>
      <c r="H113" s="55">
        <v>2</v>
      </c>
      <c r="I113" s="56">
        <f t="shared" si="8"/>
        <v>0</v>
      </c>
      <c r="J113" s="56">
        <f t="shared" si="9"/>
        <v>45000</v>
      </c>
      <c r="K113" s="56">
        <f t="shared" si="10"/>
        <v>0</v>
      </c>
    </row>
    <row r="114" spans="2:36">
      <c r="B114" s="77" t="s">
        <v>274</v>
      </c>
      <c r="C114" s="78" t="s">
        <v>5</v>
      </c>
      <c r="D114" s="60">
        <f>D108</f>
        <v>21000</v>
      </c>
      <c r="E114" s="226">
        <f>E10</f>
        <v>880</v>
      </c>
      <c r="F114" s="62">
        <f t="shared" si="6"/>
        <v>18480000</v>
      </c>
      <c r="G114" s="222">
        <f t="shared" si="7"/>
        <v>92400</v>
      </c>
      <c r="H114" s="55">
        <v>3</v>
      </c>
      <c r="I114" s="56">
        <f t="shared" si="8"/>
        <v>0</v>
      </c>
      <c r="J114" s="56">
        <f t="shared" si="9"/>
        <v>0</v>
      </c>
      <c r="K114" s="56">
        <f t="shared" si="10"/>
        <v>92400</v>
      </c>
    </row>
    <row r="115" spans="2:36">
      <c r="B115" s="61" t="s">
        <v>289</v>
      </c>
      <c r="C115" s="78" t="s">
        <v>5</v>
      </c>
      <c r="D115" s="60">
        <f>D108</f>
        <v>21000</v>
      </c>
      <c r="E115" s="226">
        <f>E12</f>
        <v>720</v>
      </c>
      <c r="F115" s="62">
        <f t="shared" si="6"/>
        <v>15120000</v>
      </c>
      <c r="G115" s="222">
        <f t="shared" si="7"/>
        <v>75600</v>
      </c>
      <c r="H115" s="55">
        <v>3</v>
      </c>
      <c r="I115" s="56">
        <f t="shared" si="8"/>
        <v>0</v>
      </c>
      <c r="J115" s="56">
        <f t="shared" si="9"/>
        <v>0</v>
      </c>
      <c r="K115" s="56">
        <f t="shared" si="10"/>
        <v>75600</v>
      </c>
    </row>
    <row r="116" spans="2:36">
      <c r="B116" s="77" t="s">
        <v>290</v>
      </c>
      <c r="C116" s="78" t="s">
        <v>5</v>
      </c>
      <c r="D116" s="60">
        <f>D110</f>
        <v>21000</v>
      </c>
      <c r="E116" s="226">
        <f>E14</f>
        <v>300</v>
      </c>
      <c r="F116" s="62">
        <f t="shared" si="6"/>
        <v>6300000</v>
      </c>
      <c r="G116" s="222">
        <f t="shared" si="7"/>
        <v>31500</v>
      </c>
      <c r="H116" s="55">
        <v>3</v>
      </c>
      <c r="I116" s="56">
        <f t="shared" si="8"/>
        <v>0</v>
      </c>
      <c r="J116" s="56">
        <f t="shared" si="9"/>
        <v>0</v>
      </c>
      <c r="K116" s="56">
        <f t="shared" si="10"/>
        <v>31500</v>
      </c>
    </row>
    <row r="117" spans="2:36">
      <c r="B117" s="61" t="s">
        <v>288</v>
      </c>
      <c r="C117" s="78" t="s">
        <v>5</v>
      </c>
      <c r="D117" s="60">
        <f>D108</f>
        <v>21000</v>
      </c>
      <c r="E117" s="226">
        <f>E25</f>
        <v>300</v>
      </c>
      <c r="F117" s="62">
        <f t="shared" si="6"/>
        <v>6300000</v>
      </c>
      <c r="G117" s="222">
        <f t="shared" si="7"/>
        <v>31500</v>
      </c>
      <c r="H117" s="55">
        <v>3</v>
      </c>
      <c r="I117" s="56">
        <f t="shared" si="8"/>
        <v>0</v>
      </c>
      <c r="J117" s="56">
        <f t="shared" si="9"/>
        <v>0</v>
      </c>
      <c r="K117" s="56">
        <f t="shared" si="10"/>
        <v>31500</v>
      </c>
    </row>
    <row r="118" spans="2:36">
      <c r="B118" s="77" t="s">
        <v>291</v>
      </c>
      <c r="C118" s="78" t="s">
        <v>5</v>
      </c>
      <c r="D118" s="60">
        <v>15000</v>
      </c>
      <c r="E118" s="226">
        <f>E19</f>
        <v>880</v>
      </c>
      <c r="F118" s="62">
        <f t="shared" si="6"/>
        <v>13200000</v>
      </c>
      <c r="G118" s="222">
        <f t="shared" si="7"/>
        <v>66000</v>
      </c>
      <c r="H118" s="55">
        <v>3</v>
      </c>
      <c r="I118" s="56">
        <f t="shared" si="8"/>
        <v>0</v>
      </c>
      <c r="J118" s="56">
        <f t="shared" si="9"/>
        <v>0</v>
      </c>
      <c r="K118" s="56">
        <f t="shared" si="10"/>
        <v>66000</v>
      </c>
    </row>
    <row r="119" spans="2:36">
      <c r="B119" s="77" t="s">
        <v>275</v>
      </c>
      <c r="C119" s="78" t="s">
        <v>5</v>
      </c>
      <c r="D119" s="60">
        <v>15000</v>
      </c>
      <c r="E119" s="226">
        <f>E35</f>
        <v>1000</v>
      </c>
      <c r="F119" s="62">
        <f t="shared" si="6"/>
        <v>15000000</v>
      </c>
      <c r="G119" s="222">
        <f t="shared" si="7"/>
        <v>75000</v>
      </c>
      <c r="H119" s="55">
        <v>3</v>
      </c>
      <c r="I119" s="56">
        <f t="shared" si="8"/>
        <v>0</v>
      </c>
      <c r="J119" s="56">
        <f t="shared" si="9"/>
        <v>0</v>
      </c>
      <c r="K119" s="56">
        <f t="shared" si="10"/>
        <v>75000</v>
      </c>
    </row>
    <row r="120" spans="2:36" s="231" customFormat="1">
      <c r="B120" s="61" t="s">
        <v>284</v>
      </c>
      <c r="C120" s="58" t="s">
        <v>5</v>
      </c>
      <c r="D120" s="60">
        <v>15000</v>
      </c>
      <c r="E120" s="60">
        <f>E37</f>
        <v>210</v>
      </c>
      <c r="F120" s="62">
        <f t="shared" si="6"/>
        <v>3150000</v>
      </c>
      <c r="G120" s="222">
        <f t="shared" si="7"/>
        <v>15750</v>
      </c>
      <c r="H120" s="55">
        <v>3</v>
      </c>
      <c r="I120" s="56">
        <f t="shared" si="8"/>
        <v>0</v>
      </c>
      <c r="J120" s="56">
        <f t="shared" si="9"/>
        <v>0</v>
      </c>
      <c r="K120" s="56">
        <f t="shared" si="10"/>
        <v>15750</v>
      </c>
      <c r="L120" s="230"/>
      <c r="M120" s="230"/>
      <c r="N120" s="230"/>
      <c r="O120" s="230"/>
      <c r="P120" s="230"/>
      <c r="Q120" s="230"/>
      <c r="R120" s="230"/>
      <c r="S120" s="230"/>
      <c r="T120" s="230"/>
      <c r="U120" s="230"/>
      <c r="V120" s="230"/>
      <c r="W120" s="230"/>
      <c r="X120" s="230"/>
      <c r="Y120" s="230"/>
      <c r="Z120" s="230"/>
      <c r="AA120" s="230"/>
      <c r="AB120" s="230"/>
      <c r="AC120" s="230"/>
      <c r="AD120" s="230"/>
      <c r="AE120" s="230"/>
      <c r="AF120" s="230"/>
      <c r="AG120" s="230"/>
      <c r="AH120" s="230"/>
      <c r="AI120" s="230"/>
      <c r="AJ120" s="230"/>
    </row>
    <row r="121" spans="2:36" s="231" customFormat="1">
      <c r="B121" s="61" t="s">
        <v>292</v>
      </c>
      <c r="C121" s="58" t="s">
        <v>5</v>
      </c>
      <c r="D121" s="60">
        <v>15000</v>
      </c>
      <c r="E121" s="60">
        <f>E40</f>
        <v>200</v>
      </c>
      <c r="F121" s="62">
        <f t="shared" si="6"/>
        <v>3000000</v>
      </c>
      <c r="G121" s="222">
        <f t="shared" si="7"/>
        <v>15000</v>
      </c>
      <c r="H121" s="55">
        <v>3</v>
      </c>
      <c r="I121" s="56">
        <f t="shared" si="8"/>
        <v>0</v>
      </c>
      <c r="J121" s="56">
        <f t="shared" si="9"/>
        <v>0</v>
      </c>
      <c r="K121" s="56">
        <f t="shared" si="10"/>
        <v>15000</v>
      </c>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0"/>
      <c r="AI121" s="230"/>
      <c r="AJ121" s="230"/>
    </row>
    <row r="122" spans="2:36">
      <c r="B122" s="84" t="s">
        <v>325</v>
      </c>
      <c r="C122" s="85"/>
      <c r="D122" s="85"/>
      <c r="E122" s="85"/>
      <c r="F122" s="85"/>
      <c r="G122" s="86"/>
      <c r="H122" s="89"/>
      <c r="I122" s="90"/>
      <c r="J122" s="49"/>
      <c r="K122" s="49"/>
    </row>
    <row r="123" spans="2:36">
      <c r="B123" s="87" t="s">
        <v>327</v>
      </c>
      <c r="C123" s="51" t="s">
        <v>24</v>
      </c>
      <c r="D123" s="54">
        <v>450000</v>
      </c>
      <c r="E123" s="88">
        <v>50</v>
      </c>
      <c r="F123" s="52">
        <f>D123*E123</f>
        <v>22500000</v>
      </c>
      <c r="G123" s="52">
        <f>F123/200</f>
        <v>112500</v>
      </c>
      <c r="H123" s="55">
        <v>1</v>
      </c>
      <c r="I123" s="56">
        <f>IF(H123=1,G123,0)</f>
        <v>112500</v>
      </c>
      <c r="J123" s="56">
        <f>IF(H123=2,G123,0)</f>
        <v>0</v>
      </c>
      <c r="K123" s="56">
        <f>IF(H123=3,G123,0)</f>
        <v>0</v>
      </c>
    </row>
    <row r="124" spans="2:36">
      <c r="B124" s="68" t="s">
        <v>328</v>
      </c>
      <c r="C124" s="69" t="s">
        <v>24</v>
      </c>
      <c r="D124" s="70">
        <v>450000</v>
      </c>
      <c r="E124" s="69">
        <v>50</v>
      </c>
      <c r="F124" s="72">
        <f>D124*E124</f>
        <v>22500000</v>
      </c>
      <c r="G124" s="91">
        <f>F124/200</f>
        <v>112500</v>
      </c>
      <c r="H124" s="55">
        <v>2</v>
      </c>
      <c r="I124" s="56">
        <f>IF(H124=1,G124,0)</f>
        <v>0</v>
      </c>
      <c r="J124" s="56">
        <f>IF(H124=2,G124,0)</f>
        <v>112500</v>
      </c>
      <c r="K124" s="56">
        <f>IF(H124=3,G124,0)</f>
        <v>0</v>
      </c>
    </row>
    <row r="125" spans="2:36">
      <c r="B125" s="84" t="s">
        <v>329</v>
      </c>
      <c r="C125" s="85"/>
      <c r="D125" s="85"/>
      <c r="E125" s="85"/>
      <c r="F125" s="85"/>
      <c r="G125" s="86"/>
      <c r="H125" s="89"/>
      <c r="I125" s="90"/>
      <c r="J125" s="49"/>
      <c r="K125" s="49"/>
    </row>
    <row r="126" spans="2:36">
      <c r="B126" s="87" t="s">
        <v>330</v>
      </c>
      <c r="C126" s="51" t="s">
        <v>5</v>
      </c>
      <c r="D126" s="54">
        <v>50000</v>
      </c>
      <c r="E126" s="88">
        <v>1000</v>
      </c>
      <c r="F126" s="52">
        <f>D126*E126</f>
        <v>50000000</v>
      </c>
      <c r="G126" s="52">
        <f>F126/200</f>
        <v>250000</v>
      </c>
      <c r="H126" s="55">
        <v>1</v>
      </c>
      <c r="I126" s="56">
        <f>IF(H126=1,G126,0)</f>
        <v>250000</v>
      </c>
      <c r="J126" s="56">
        <f>IF(H126=2,G126,0)</f>
        <v>0</v>
      </c>
      <c r="K126" s="56">
        <f>IF(H126=3,G126,0)</f>
        <v>0</v>
      </c>
    </row>
    <row r="127" spans="2:36">
      <c r="B127" s="87" t="s">
        <v>268</v>
      </c>
      <c r="C127" s="88" t="s">
        <v>24</v>
      </c>
      <c r="D127" s="54">
        <v>25000</v>
      </c>
      <c r="E127" s="223">
        <v>200</v>
      </c>
      <c r="F127" s="52">
        <f>D127*E127</f>
        <v>5000000</v>
      </c>
      <c r="G127" s="52">
        <f>F127/200</f>
        <v>25000</v>
      </c>
      <c r="H127" s="55">
        <v>1</v>
      </c>
      <c r="I127" s="56">
        <f>IF(H127=1,G127,0)</f>
        <v>25000</v>
      </c>
      <c r="J127" s="56">
        <f>IF(H127=2,G127,0)</f>
        <v>0</v>
      </c>
      <c r="K127" s="56">
        <f>IF(H127=3,G127,0)</f>
        <v>0</v>
      </c>
    </row>
    <row r="128" spans="2:36">
      <c r="B128" s="68" t="s">
        <v>331</v>
      </c>
      <c r="C128" s="74" t="s">
        <v>5</v>
      </c>
      <c r="D128" s="70">
        <v>50000</v>
      </c>
      <c r="E128" s="69">
        <v>2000</v>
      </c>
      <c r="F128" s="72">
        <f>D128*E128</f>
        <v>100000000</v>
      </c>
      <c r="G128" s="72">
        <f>F128/200</f>
        <v>500000</v>
      </c>
      <c r="H128" s="55">
        <v>2</v>
      </c>
      <c r="I128" s="56">
        <f>IF(H128=1,G128,0)</f>
        <v>0</v>
      </c>
      <c r="J128" s="56">
        <f>IF(H128=2,G128,0)</f>
        <v>500000</v>
      </c>
      <c r="K128" s="56">
        <f>IF(H128=3,G128,0)</f>
        <v>0</v>
      </c>
    </row>
    <row r="129" spans="2:12">
      <c r="B129" s="68" t="s">
        <v>268</v>
      </c>
      <c r="C129" s="69" t="s">
        <v>24</v>
      </c>
      <c r="D129" s="70">
        <v>25000</v>
      </c>
      <c r="E129" s="227">
        <v>200</v>
      </c>
      <c r="F129" s="72">
        <f>D129*E129</f>
        <v>5000000</v>
      </c>
      <c r="G129" s="72">
        <f>F129/200</f>
        <v>25000</v>
      </c>
      <c r="H129" s="55">
        <v>2</v>
      </c>
      <c r="I129" s="56">
        <f>IF(H129=1,G129,0)</f>
        <v>0</v>
      </c>
      <c r="J129" s="56">
        <f>IF(H129=2,G129,0)</f>
        <v>25000</v>
      </c>
      <c r="K129" s="56">
        <f>IF(H129=3,G129,0)</f>
        <v>0</v>
      </c>
    </row>
    <row r="130" spans="2:12">
      <c r="B130" s="271" t="s">
        <v>39</v>
      </c>
      <c r="C130" s="272"/>
      <c r="D130" s="272"/>
      <c r="E130" s="273"/>
      <c r="F130" s="56">
        <f>SUM(F108,F106,F103:F104,F100:F101,F109,F110,F111+F112+F113,F114,F115,F116,F117,F118,F119,F120,F121,F123,F124,F126,F127,F128,F129)</f>
        <v>1085270000</v>
      </c>
      <c r="G130" s="56">
        <f>SUM(G108,G106,G103:G104,G100:G101,G109,G110,G111+G112+G113,G114,G115,G116,G117,G118,G119,G120,G121,G123,G124,G126,G127,G128,G129)</f>
        <v>5426350</v>
      </c>
      <c r="H130" s="47"/>
      <c r="I130" s="65">
        <f>SUM(I100:I129)</f>
        <v>629150</v>
      </c>
      <c r="J130" s="66">
        <f>SUM(J100:J129)</f>
        <v>1614450</v>
      </c>
      <c r="K130" s="67">
        <f>SUM(K100:K129)</f>
        <v>3182750</v>
      </c>
      <c r="L130" s="36">
        <f>SUM(I130:K130)</f>
        <v>5426350</v>
      </c>
    </row>
    <row r="131" spans="2:12">
      <c r="B131" s="31"/>
      <c r="C131" s="31"/>
      <c r="D131" s="31"/>
      <c r="E131" s="31"/>
      <c r="F131" s="31"/>
      <c r="G131" s="31"/>
      <c r="H131" s="30"/>
      <c r="I131" s="31"/>
      <c r="J131" s="31"/>
      <c r="K131" s="31"/>
    </row>
    <row r="132" spans="2:12" ht="24" customHeight="1">
      <c r="B132" s="268" t="s">
        <v>226</v>
      </c>
      <c r="C132" s="269"/>
      <c r="D132" s="269"/>
      <c r="E132" s="270"/>
      <c r="F132" s="268" t="s">
        <v>9</v>
      </c>
      <c r="G132" s="270"/>
      <c r="H132" s="260" t="s">
        <v>108</v>
      </c>
      <c r="I132" s="262" t="s">
        <v>362</v>
      </c>
      <c r="J132" s="264" t="s">
        <v>363</v>
      </c>
      <c r="K132" s="258" t="s">
        <v>364</v>
      </c>
    </row>
    <row r="133" spans="2:12" ht="24" customHeight="1">
      <c r="B133" s="240" t="s">
        <v>2</v>
      </c>
      <c r="C133" s="240" t="s">
        <v>3</v>
      </c>
      <c r="D133" s="240" t="s">
        <v>4</v>
      </c>
      <c r="E133" s="240" t="s">
        <v>0</v>
      </c>
      <c r="F133" s="240" t="s">
        <v>10</v>
      </c>
      <c r="G133" s="240" t="s">
        <v>8</v>
      </c>
      <c r="H133" s="261"/>
      <c r="I133" s="263"/>
      <c r="J133" s="265"/>
      <c r="K133" s="259"/>
    </row>
    <row r="134" spans="2:12">
      <c r="B134" s="84" t="s">
        <v>339</v>
      </c>
      <c r="C134" s="85"/>
      <c r="D134" s="85"/>
      <c r="E134" s="85"/>
      <c r="F134" s="85"/>
      <c r="G134" s="86"/>
      <c r="H134" s="47"/>
      <c r="I134" s="49"/>
      <c r="J134" s="49"/>
      <c r="K134" s="49"/>
    </row>
    <row r="135" spans="2:12">
      <c r="B135" s="87" t="s">
        <v>340</v>
      </c>
      <c r="C135" s="88" t="s">
        <v>17</v>
      </c>
      <c r="D135" s="54">
        <v>120000</v>
      </c>
      <c r="E135" s="88">
        <v>400</v>
      </c>
      <c r="F135" s="52">
        <f>D135*E135</f>
        <v>48000000</v>
      </c>
      <c r="G135" s="52">
        <f>F135/200</f>
        <v>240000</v>
      </c>
      <c r="H135" s="55">
        <v>1</v>
      </c>
      <c r="I135" s="56">
        <f>IF(H135=1,G135,0)</f>
        <v>240000</v>
      </c>
      <c r="J135" s="56">
        <f>IF(H135=2,G135,0)</f>
        <v>0</v>
      </c>
      <c r="K135" s="56">
        <f>IF(H135=3,G135,0)</f>
        <v>0</v>
      </c>
    </row>
    <row r="136" spans="2:12">
      <c r="B136" s="84" t="s">
        <v>333</v>
      </c>
      <c r="C136" s="85"/>
      <c r="D136" s="85"/>
      <c r="E136" s="85"/>
      <c r="F136" s="85"/>
      <c r="G136" s="86"/>
      <c r="H136" s="237"/>
      <c r="I136" s="238"/>
      <c r="J136" s="238"/>
      <c r="K136" s="238"/>
    </row>
    <row r="137" spans="2:12">
      <c r="B137" s="232" t="s">
        <v>296</v>
      </c>
      <c r="C137" s="232"/>
      <c r="D137" s="232"/>
      <c r="E137" s="232"/>
      <c r="F137" s="232"/>
      <c r="G137" s="235"/>
      <c r="H137" s="47"/>
      <c r="I137" s="49"/>
      <c r="J137" s="83"/>
      <c r="K137" s="83"/>
    </row>
    <row r="138" spans="2:12">
      <c r="B138" s="87" t="s">
        <v>334</v>
      </c>
      <c r="C138" s="88" t="s">
        <v>17</v>
      </c>
      <c r="D138" s="54">
        <v>12000</v>
      </c>
      <c r="E138" s="88">
        <v>1600</v>
      </c>
      <c r="F138" s="52">
        <f>D138*E138</f>
        <v>19200000</v>
      </c>
      <c r="G138" s="52">
        <f>F138/200</f>
        <v>96000</v>
      </c>
      <c r="H138" s="55">
        <v>1</v>
      </c>
      <c r="I138" s="56">
        <f>IF(H138=1,G138,0)</f>
        <v>96000</v>
      </c>
      <c r="J138" s="56">
        <f>IF(H138=2,G138,0)</f>
        <v>0</v>
      </c>
      <c r="K138" s="56">
        <f>IF(H138=3,G138,0)</f>
        <v>0</v>
      </c>
    </row>
    <row r="139" spans="2:12">
      <c r="B139" s="87" t="s">
        <v>335</v>
      </c>
      <c r="C139" s="51" t="s">
        <v>17</v>
      </c>
      <c r="D139" s="54">
        <v>25000</v>
      </c>
      <c r="E139" s="92">
        <v>1600</v>
      </c>
      <c r="F139" s="52">
        <f>D139*E139</f>
        <v>40000000</v>
      </c>
      <c r="G139" s="52">
        <f>F139/200</f>
        <v>200000</v>
      </c>
      <c r="H139" s="55">
        <v>1</v>
      </c>
      <c r="I139" s="56">
        <f>IF(H139=1,G139,0)</f>
        <v>200000</v>
      </c>
      <c r="J139" s="56">
        <f>IF(H139=2,G139,0)</f>
        <v>0</v>
      </c>
      <c r="K139" s="56">
        <f>IF(H139=3,G139,0)</f>
        <v>0</v>
      </c>
    </row>
    <row r="140" spans="2:12">
      <c r="B140" s="87" t="s">
        <v>336</v>
      </c>
      <c r="C140" s="88" t="s">
        <v>17</v>
      </c>
      <c r="D140" s="54">
        <v>25000</v>
      </c>
      <c r="E140" s="88">
        <v>600</v>
      </c>
      <c r="F140" s="52">
        <f>D140*E140</f>
        <v>15000000</v>
      </c>
      <c r="G140" s="52">
        <f>F140/200</f>
        <v>75000</v>
      </c>
      <c r="H140" s="55">
        <v>1</v>
      </c>
      <c r="I140" s="56">
        <f>IF(H140=1,G140,0)</f>
        <v>75000</v>
      </c>
      <c r="J140" s="56">
        <f>IF(H140=2,G140,0)</f>
        <v>0</v>
      </c>
      <c r="K140" s="56">
        <f>IF(H140=3,G140,0)</f>
        <v>0</v>
      </c>
    </row>
    <row r="141" spans="2:12">
      <c r="B141" s="87" t="s">
        <v>337</v>
      </c>
      <c r="C141" s="88" t="s">
        <v>17</v>
      </c>
      <c r="D141" s="54">
        <v>25000</v>
      </c>
      <c r="E141" s="88">
        <v>400</v>
      </c>
      <c r="F141" s="52">
        <f>D141*E141</f>
        <v>10000000</v>
      </c>
      <c r="G141" s="52">
        <f>F141/200</f>
        <v>50000</v>
      </c>
      <c r="H141" s="55">
        <v>1</v>
      </c>
      <c r="I141" s="56">
        <f>IF(H141=1,G141,0)</f>
        <v>50000</v>
      </c>
      <c r="J141" s="56">
        <f>IF(H141=2,G141,0)</f>
        <v>0</v>
      </c>
      <c r="K141" s="56">
        <f>IF(H141=3,G141,0)</f>
        <v>0</v>
      </c>
    </row>
    <row r="142" spans="2:12">
      <c r="B142" s="87" t="s">
        <v>338</v>
      </c>
      <c r="C142" s="88" t="s">
        <v>17</v>
      </c>
      <c r="D142" s="54">
        <v>25000</v>
      </c>
      <c r="E142" s="88">
        <f>25*15</f>
        <v>375</v>
      </c>
      <c r="F142" s="52">
        <f>D142*E142</f>
        <v>9375000</v>
      </c>
      <c r="G142" s="52">
        <f>F142/200</f>
        <v>46875</v>
      </c>
      <c r="H142" s="55">
        <v>1</v>
      </c>
      <c r="I142" s="56">
        <f>IF(H142=1,G142,0)</f>
        <v>46875</v>
      </c>
      <c r="J142" s="56">
        <f>IF(H142=2,G142,0)</f>
        <v>0</v>
      </c>
      <c r="K142" s="56">
        <f>IF(H142=3,G142,0)</f>
        <v>0</v>
      </c>
    </row>
    <row r="143" spans="2:12">
      <c r="B143" s="233" t="s">
        <v>293</v>
      </c>
      <c r="C143" s="69"/>
      <c r="D143" s="70"/>
      <c r="E143" s="69"/>
      <c r="F143" s="72"/>
      <c r="G143" s="72"/>
      <c r="H143" s="89"/>
      <c r="I143" s="90"/>
      <c r="J143" s="90"/>
      <c r="K143" s="90"/>
    </row>
    <row r="144" spans="2:12">
      <c r="B144" s="68" t="s">
        <v>341</v>
      </c>
      <c r="C144" s="69" t="s">
        <v>17</v>
      </c>
      <c r="D144" s="70">
        <v>25000</v>
      </c>
      <c r="E144" s="69">
        <v>300</v>
      </c>
      <c r="F144" s="72">
        <f>D144*E144</f>
        <v>7500000</v>
      </c>
      <c r="G144" s="72">
        <f>F144/200</f>
        <v>37500</v>
      </c>
      <c r="H144" s="55">
        <v>2</v>
      </c>
      <c r="I144" s="56">
        <f>IF(H144=1,G144,0)</f>
        <v>0</v>
      </c>
      <c r="J144" s="56">
        <f>IF(H144=2,G144,0)</f>
        <v>37500</v>
      </c>
      <c r="K144" s="56">
        <f>IF(H144=3,G144,0)</f>
        <v>0</v>
      </c>
    </row>
    <row r="145" spans="2:12">
      <c r="B145" s="68" t="s">
        <v>342</v>
      </c>
      <c r="C145" s="74" t="s">
        <v>17</v>
      </c>
      <c r="D145" s="70">
        <v>25000</v>
      </c>
      <c r="E145" s="69">
        <f>25*15</f>
        <v>375</v>
      </c>
      <c r="F145" s="72">
        <f>D145*E145</f>
        <v>9375000</v>
      </c>
      <c r="G145" s="72">
        <f>F145/200</f>
        <v>46875</v>
      </c>
      <c r="H145" s="55">
        <v>2</v>
      </c>
      <c r="I145" s="56">
        <f>IF(H145=1,G145,0)</f>
        <v>0</v>
      </c>
      <c r="J145" s="56">
        <f>IF(H145=2,G145,0)</f>
        <v>46875</v>
      </c>
      <c r="K145" s="56">
        <f>IF(H145=3,G145,0)</f>
        <v>0</v>
      </c>
    </row>
    <row r="146" spans="2:12">
      <c r="B146" s="236" t="s">
        <v>295</v>
      </c>
      <c r="C146" s="236"/>
      <c r="D146" s="236"/>
      <c r="E146" s="236"/>
      <c r="F146" s="236"/>
      <c r="G146" s="234"/>
      <c r="H146" s="239"/>
      <c r="I146" s="83"/>
      <c r="J146" s="83"/>
      <c r="K146" s="83"/>
    </row>
    <row r="147" spans="2:12">
      <c r="B147" s="77" t="s">
        <v>343</v>
      </c>
      <c r="C147" s="78" t="s">
        <v>17</v>
      </c>
      <c r="D147" s="60">
        <v>12000</v>
      </c>
      <c r="E147" s="78">
        <v>800</v>
      </c>
      <c r="F147" s="62">
        <v>19200000</v>
      </c>
      <c r="G147" s="62">
        <v>96000</v>
      </c>
      <c r="H147" s="55">
        <v>3</v>
      </c>
      <c r="I147" s="56">
        <f>IF(H147=1,G147,0)</f>
        <v>0</v>
      </c>
      <c r="J147" s="56">
        <f>IF(H147=2,G147,0)</f>
        <v>0</v>
      </c>
      <c r="K147" s="56">
        <f t="shared" ref="K147:K148" si="11">IF(H147=3,G147,0)</f>
        <v>96000</v>
      </c>
    </row>
    <row r="148" spans="2:12">
      <c r="B148" s="77" t="s">
        <v>344</v>
      </c>
      <c r="C148" s="58" t="s">
        <v>17</v>
      </c>
      <c r="D148" s="60">
        <v>25000</v>
      </c>
      <c r="E148" s="253">
        <v>1600</v>
      </c>
      <c r="F148" s="62">
        <v>40000000</v>
      </c>
      <c r="G148" s="62">
        <v>200000</v>
      </c>
      <c r="H148" s="55">
        <v>3</v>
      </c>
      <c r="I148" s="56">
        <f>IF(H148=1,G148,0)</f>
        <v>0</v>
      </c>
      <c r="J148" s="56">
        <f>IF(H148=2,G148,0)</f>
        <v>0</v>
      </c>
      <c r="K148" s="56">
        <f t="shared" si="11"/>
        <v>200000</v>
      </c>
    </row>
    <row r="149" spans="2:12">
      <c r="B149" s="234" t="s">
        <v>345</v>
      </c>
      <c r="C149" s="78" t="s">
        <v>17</v>
      </c>
      <c r="D149" s="60">
        <v>25000</v>
      </c>
      <c r="E149" s="78">
        <v>600</v>
      </c>
      <c r="F149" s="62">
        <v>15000000</v>
      </c>
      <c r="G149" s="62">
        <v>75000</v>
      </c>
      <c r="H149" s="55">
        <v>3</v>
      </c>
      <c r="I149" s="56">
        <f>IF(H149=1,G149,0)</f>
        <v>0</v>
      </c>
      <c r="J149" s="56">
        <f>IF(H149=2,G149,0)</f>
        <v>0</v>
      </c>
      <c r="K149" s="56">
        <f>IF(H149=3,G149,0)</f>
        <v>75000</v>
      </c>
    </row>
    <row r="150" spans="2:12">
      <c r="B150" s="77" t="s">
        <v>346</v>
      </c>
      <c r="C150" s="78" t="s">
        <v>17</v>
      </c>
      <c r="D150" s="60">
        <v>25000</v>
      </c>
      <c r="E150" s="78">
        <v>400</v>
      </c>
      <c r="F150" s="62">
        <v>10000000</v>
      </c>
      <c r="G150" s="62">
        <v>50000</v>
      </c>
      <c r="H150" s="55">
        <v>3</v>
      </c>
      <c r="I150" s="56">
        <f>IF(H150=1,G150,0)</f>
        <v>0</v>
      </c>
      <c r="J150" s="56">
        <f>IF(H150=2,G150,0)</f>
        <v>0</v>
      </c>
      <c r="K150" s="56">
        <f>IF(H150=3,G150,0)</f>
        <v>50000</v>
      </c>
    </row>
    <row r="151" spans="2:12">
      <c r="B151" s="234" t="s">
        <v>297</v>
      </c>
      <c r="C151" s="78"/>
      <c r="D151" s="60"/>
      <c r="E151" s="78"/>
      <c r="F151" s="62"/>
      <c r="G151" s="62"/>
      <c r="H151" s="55"/>
      <c r="I151" s="56"/>
      <c r="J151" s="56"/>
      <c r="K151" s="56"/>
    </row>
    <row r="152" spans="2:12">
      <c r="B152" s="77" t="s">
        <v>368</v>
      </c>
      <c r="C152" s="78" t="s">
        <v>17</v>
      </c>
      <c r="D152" s="60">
        <v>25000</v>
      </c>
      <c r="E152" s="78">
        <v>800</v>
      </c>
      <c r="F152" s="62">
        <f>D152*E152</f>
        <v>20000000</v>
      </c>
      <c r="G152" s="62">
        <f>F152/200</f>
        <v>100000</v>
      </c>
      <c r="H152" s="55">
        <v>3</v>
      </c>
      <c r="I152" s="56">
        <f>IF(H152=1,G152,0)</f>
        <v>0</v>
      </c>
      <c r="J152" s="56">
        <f>IF(H152=2,G152,0)</f>
        <v>0</v>
      </c>
      <c r="K152" s="56">
        <f>IF(H152=3,G152,0)</f>
        <v>100000</v>
      </c>
    </row>
    <row r="153" spans="2:12">
      <c r="B153" s="234" t="s">
        <v>294</v>
      </c>
      <c r="C153" s="58"/>
      <c r="D153" s="60"/>
      <c r="E153" s="78"/>
      <c r="F153" s="62"/>
      <c r="G153" s="62"/>
      <c r="H153" s="89"/>
      <c r="I153" s="90"/>
      <c r="J153" s="90"/>
      <c r="K153" s="90"/>
    </row>
    <row r="154" spans="2:12">
      <c r="B154" s="77" t="s">
        <v>369</v>
      </c>
      <c r="C154" s="58" t="s">
        <v>17</v>
      </c>
      <c r="D154" s="60">
        <v>25000</v>
      </c>
      <c r="E154" s="78">
        <v>800</v>
      </c>
      <c r="F154" s="62">
        <f>D154*E154</f>
        <v>20000000</v>
      </c>
      <c r="G154" s="62">
        <f>F154/200</f>
        <v>100000</v>
      </c>
      <c r="H154" s="55">
        <v>3</v>
      </c>
      <c r="I154" s="56">
        <f>IF(H154=1,G154,0)</f>
        <v>0</v>
      </c>
      <c r="J154" s="56">
        <f>IF(H154=2,G154,0)</f>
        <v>0</v>
      </c>
      <c r="K154" s="56">
        <f>IF(H154=3,G154,0)</f>
        <v>100000</v>
      </c>
    </row>
    <row r="155" spans="2:12">
      <c r="B155" s="84" t="s">
        <v>347</v>
      </c>
      <c r="C155" s="85"/>
      <c r="D155" s="85"/>
      <c r="E155" s="85"/>
      <c r="F155" s="85"/>
      <c r="G155" s="86"/>
      <c r="H155" s="89"/>
      <c r="I155" s="90"/>
      <c r="J155" s="49"/>
      <c r="K155" s="49"/>
    </row>
    <row r="156" spans="2:12">
      <c r="B156" s="77" t="s">
        <v>348</v>
      </c>
      <c r="C156" s="58" t="s">
        <v>17</v>
      </c>
      <c r="D156" s="60">
        <v>120000</v>
      </c>
      <c r="E156" s="78">
        <v>400</v>
      </c>
      <c r="F156" s="62">
        <f>D156*E156</f>
        <v>48000000</v>
      </c>
      <c r="G156" s="62">
        <f>F156/200</f>
        <v>240000</v>
      </c>
      <c r="H156" s="55">
        <v>3</v>
      </c>
      <c r="I156" s="56">
        <f>IF(H156=1,G156,0)</f>
        <v>0</v>
      </c>
      <c r="J156" s="56">
        <f>IF(H156=2,G156,0)</f>
        <v>0</v>
      </c>
      <c r="K156" s="56">
        <f>IF(H156=3,G156,0)</f>
        <v>240000</v>
      </c>
    </row>
    <row r="157" spans="2:12">
      <c r="B157" s="271" t="s">
        <v>39</v>
      </c>
      <c r="C157" s="272"/>
      <c r="D157" s="272"/>
      <c r="E157" s="273"/>
      <c r="F157" s="56">
        <f>SUM(F135:F156)</f>
        <v>330650000</v>
      </c>
      <c r="G157" s="56">
        <f>SUM(G135:G156)</f>
        <v>1653250</v>
      </c>
      <c r="H157" s="47"/>
      <c r="I157" s="65">
        <f>SUM(I135:I156)</f>
        <v>707875</v>
      </c>
      <c r="J157" s="66">
        <f>SUM(J135:J156)</f>
        <v>84375</v>
      </c>
      <c r="K157" s="67">
        <f>SUM(K135:K156)</f>
        <v>861000</v>
      </c>
    </row>
    <row r="158" spans="2:12" ht="24" customHeight="1">
      <c r="B158" s="284" t="s">
        <v>104</v>
      </c>
      <c r="C158" s="284"/>
      <c r="D158" s="284"/>
      <c r="E158" s="285"/>
      <c r="F158" s="268" t="s">
        <v>9</v>
      </c>
      <c r="G158" s="270"/>
      <c r="H158" s="30"/>
      <c r="I158" s="262" t="s">
        <v>362</v>
      </c>
      <c r="J158" s="264" t="s">
        <v>363</v>
      </c>
      <c r="K158" s="258" t="s">
        <v>364</v>
      </c>
    </row>
    <row r="159" spans="2:12" ht="24" customHeight="1">
      <c r="B159" s="286"/>
      <c r="C159" s="286"/>
      <c r="D159" s="286"/>
      <c r="E159" s="287"/>
      <c r="F159" s="18" t="s">
        <v>10</v>
      </c>
      <c r="G159" s="18" t="s">
        <v>8</v>
      </c>
      <c r="H159" s="30"/>
      <c r="I159" s="263"/>
      <c r="J159" s="265"/>
      <c r="K159" s="259"/>
    </row>
    <row r="160" spans="2:12" ht="16.2" thickBot="1">
      <c r="B160" s="271" t="s">
        <v>39</v>
      </c>
      <c r="C160" s="272"/>
      <c r="D160" s="272"/>
      <c r="E160" s="273"/>
      <c r="F160" s="56">
        <f>SUM(F130,F94,F41,F157)</f>
        <v>3239270000</v>
      </c>
      <c r="G160" s="56">
        <f>SUM(G130,G94,G41,G157)</f>
        <v>16196350</v>
      </c>
      <c r="H160" s="30"/>
      <c r="I160" s="65">
        <f>INT((I41+I94+I130+I157)/1000)*1000</f>
        <v>3970000</v>
      </c>
      <c r="J160" s="66">
        <f>INT((J41+J94+J130+J157)/1000)*1000</f>
        <v>5126000</v>
      </c>
      <c r="K160" s="67">
        <f>INT((K41+K94+K130+K157)/1000)*1000</f>
        <v>7099000</v>
      </c>
      <c r="L160" s="36">
        <f>SUM(I160:K160)</f>
        <v>16195000</v>
      </c>
    </row>
    <row r="161" spans="2:37" ht="81" customHeight="1">
      <c r="B161" s="38" t="s">
        <v>109</v>
      </c>
      <c r="C161" s="38" t="s">
        <v>24</v>
      </c>
      <c r="D161" s="38" t="s">
        <v>124</v>
      </c>
      <c r="E161" s="38" t="s">
        <v>125</v>
      </c>
      <c r="F161" s="35" t="s">
        <v>126</v>
      </c>
      <c r="G161" s="35" t="s">
        <v>127</v>
      </c>
      <c r="H161" s="31"/>
      <c r="I161" s="40" t="s">
        <v>350</v>
      </c>
      <c r="J161" s="40" t="s">
        <v>365</v>
      </c>
      <c r="K161" s="40" t="s">
        <v>361</v>
      </c>
      <c r="L161" s="251"/>
      <c r="AK161" s="20"/>
    </row>
    <row r="162" spans="2:37">
      <c r="B162" s="93" t="s">
        <v>110</v>
      </c>
      <c r="C162" s="93"/>
      <c r="D162" s="93"/>
      <c r="E162" s="93"/>
      <c r="F162" s="93"/>
      <c r="G162" s="93"/>
      <c r="H162" s="94"/>
      <c r="I162" s="95"/>
      <c r="J162" s="95"/>
      <c r="K162" s="95"/>
      <c r="AK162" s="20"/>
    </row>
    <row r="163" spans="2:37" ht="30">
      <c r="B163" s="96" t="s">
        <v>111</v>
      </c>
      <c r="C163" s="97" t="s">
        <v>112</v>
      </c>
      <c r="D163" s="97" t="s">
        <v>112</v>
      </c>
      <c r="E163" s="252">
        <v>0.1</v>
      </c>
      <c r="F163" s="98">
        <f>F160*0.1</f>
        <v>323927000</v>
      </c>
      <c r="G163" s="98">
        <f>G160*0.1</f>
        <v>1619635</v>
      </c>
      <c r="H163" s="49"/>
      <c r="I163" s="99">
        <f>INT(I160*E163/1000)*1000</f>
        <v>397000</v>
      </c>
      <c r="J163" s="99">
        <f>INT(SUM(I160,J160)*E163/1000)*1000</f>
        <v>909000</v>
      </c>
      <c r="K163" s="99">
        <f>INT(SUM(I160:J160,K160)*E163/1000)*1000</f>
        <v>1619000</v>
      </c>
      <c r="L163" s="36">
        <f>K157+K94</f>
        <v>1308500</v>
      </c>
      <c r="AK163" s="20"/>
    </row>
    <row r="164" spans="2:37" ht="49.95" customHeight="1">
      <c r="B164" s="241" t="s">
        <v>122</v>
      </c>
      <c r="C164" s="242" t="s">
        <v>115</v>
      </c>
      <c r="D164" s="242">
        <v>5000</v>
      </c>
      <c r="E164" s="242">
        <v>18</v>
      </c>
      <c r="F164" s="243">
        <f>G164*200</f>
        <v>18000000</v>
      </c>
      <c r="G164" s="243">
        <v>90000</v>
      </c>
      <c r="H164" s="244"/>
      <c r="I164" s="245">
        <v>90000</v>
      </c>
      <c r="J164" s="245">
        <f>INT((I164*L164/L165)/1000)*1000</f>
        <v>135000</v>
      </c>
      <c r="K164" s="245">
        <v>150000</v>
      </c>
      <c r="L164" s="218">
        <f>J94+J157</f>
        <v>2493125</v>
      </c>
      <c r="AK164" s="20"/>
    </row>
    <row r="165" spans="2:37" ht="15.75" customHeight="1">
      <c r="B165" s="96" t="s">
        <v>113</v>
      </c>
      <c r="C165" s="97" t="s">
        <v>112</v>
      </c>
      <c r="D165" s="97" t="s">
        <v>112</v>
      </c>
      <c r="E165" s="249">
        <v>0.08</v>
      </c>
      <c r="F165" s="98">
        <f>F160*0.08</f>
        <v>259141600</v>
      </c>
      <c r="G165" s="98">
        <f>G160*0.08</f>
        <v>1295708</v>
      </c>
      <c r="H165" s="49"/>
      <c r="I165" s="99">
        <f>INT(I160*E165/1000)*1000</f>
        <v>317000</v>
      </c>
      <c r="J165" s="99">
        <f>INT((I160+J160)*E165/1000)*1000</f>
        <v>727000</v>
      </c>
      <c r="K165" s="99">
        <f>INT(SUM(I160:J160,K160)*E165/1000)*1000</f>
        <v>1295000</v>
      </c>
      <c r="L165" s="248">
        <f>I94+I157</f>
        <v>1656125</v>
      </c>
      <c r="AK165" s="20"/>
    </row>
    <row r="166" spans="2:37">
      <c r="B166" s="93" t="s">
        <v>227</v>
      </c>
      <c r="C166" s="93"/>
      <c r="D166" s="93"/>
      <c r="E166" s="93"/>
      <c r="F166" s="93"/>
      <c r="G166" s="93"/>
      <c r="H166" s="49"/>
      <c r="I166" s="95"/>
      <c r="J166" s="95"/>
      <c r="K166" s="95"/>
      <c r="AK166" s="20"/>
    </row>
    <row r="167" spans="2:37" ht="40.049999999999997" customHeight="1">
      <c r="B167" s="241" t="s">
        <v>121</v>
      </c>
      <c r="C167" s="242" t="s">
        <v>114</v>
      </c>
      <c r="D167" s="242" t="s">
        <v>112</v>
      </c>
      <c r="E167" s="242" t="s">
        <v>114</v>
      </c>
      <c r="F167" s="243">
        <f>G167*200</f>
        <v>40000000</v>
      </c>
      <c r="G167" s="243">
        <v>200000</v>
      </c>
      <c r="H167" s="244"/>
      <c r="I167" s="245">
        <v>200000</v>
      </c>
      <c r="J167" s="245">
        <v>200000</v>
      </c>
      <c r="K167" s="245">
        <f>J167</f>
        <v>200000</v>
      </c>
      <c r="AK167" s="20"/>
    </row>
    <row r="168" spans="2:37" ht="49.95" customHeight="1">
      <c r="B168" s="241" t="s">
        <v>228</v>
      </c>
      <c r="C168" s="242" t="s">
        <v>114</v>
      </c>
      <c r="D168" s="242"/>
      <c r="E168" s="242" t="s">
        <v>114</v>
      </c>
      <c r="F168" s="243">
        <f>G168*200</f>
        <v>40000000</v>
      </c>
      <c r="G168" s="243">
        <v>200000</v>
      </c>
      <c r="H168" s="244"/>
      <c r="I168" s="245">
        <v>200000</v>
      </c>
      <c r="J168" s="245">
        <f>I168</f>
        <v>200000</v>
      </c>
      <c r="K168" s="245">
        <f>J168</f>
        <v>200000</v>
      </c>
      <c r="AK168" s="20"/>
    </row>
    <row r="169" spans="2:37">
      <c r="B169" s="246" t="s">
        <v>116</v>
      </c>
      <c r="C169" s="246"/>
      <c r="D169" s="246"/>
      <c r="E169" s="246"/>
      <c r="F169" s="246"/>
      <c r="G169" s="246"/>
      <c r="H169" s="244"/>
      <c r="I169" s="247"/>
      <c r="J169" s="247"/>
      <c r="K169" s="247"/>
      <c r="AK169" s="20"/>
    </row>
    <row r="170" spans="2:37" ht="60">
      <c r="B170" s="241" t="s">
        <v>117</v>
      </c>
      <c r="C170" s="242" t="s">
        <v>114</v>
      </c>
      <c r="D170" s="242" t="s">
        <v>112</v>
      </c>
      <c r="E170" s="242" t="s">
        <v>114</v>
      </c>
      <c r="F170" s="243">
        <f>G170*200</f>
        <v>40000000</v>
      </c>
      <c r="G170" s="243">
        <v>200000</v>
      </c>
      <c r="H170" s="244"/>
      <c r="I170" s="245">
        <v>200000</v>
      </c>
      <c r="J170" s="245">
        <f>I170</f>
        <v>200000</v>
      </c>
      <c r="K170" s="245">
        <f>J170</f>
        <v>200000</v>
      </c>
      <c r="AK170" s="20"/>
    </row>
    <row r="171" spans="2:37" ht="54.75" customHeight="1">
      <c r="B171" s="241" t="s">
        <v>123</v>
      </c>
      <c r="C171" s="242" t="s">
        <v>114</v>
      </c>
      <c r="D171" s="242" t="s">
        <v>112</v>
      </c>
      <c r="E171" s="242" t="s">
        <v>114</v>
      </c>
      <c r="F171" s="243">
        <f>G171*200</f>
        <v>10000000</v>
      </c>
      <c r="G171" s="243">
        <v>50000</v>
      </c>
      <c r="H171" s="244"/>
      <c r="I171" s="245">
        <v>50000</v>
      </c>
      <c r="J171" s="245">
        <v>50000</v>
      </c>
      <c r="K171" s="245">
        <f>J171</f>
        <v>50000</v>
      </c>
      <c r="AK171" s="20"/>
    </row>
    <row r="172" spans="2:37" ht="57" customHeight="1">
      <c r="B172" s="241" t="s">
        <v>360</v>
      </c>
      <c r="C172" s="242" t="s">
        <v>115</v>
      </c>
      <c r="D172" s="242"/>
      <c r="E172" s="242">
        <v>24</v>
      </c>
      <c r="F172" s="243">
        <f>G172*200</f>
        <v>40000000</v>
      </c>
      <c r="G172" s="243">
        <v>200000</v>
      </c>
      <c r="H172" s="244"/>
      <c r="I172" s="245">
        <v>100000</v>
      </c>
      <c r="J172" s="245">
        <v>250000</v>
      </c>
      <c r="K172" s="245">
        <f>300000</f>
        <v>300000</v>
      </c>
      <c r="AK172" s="20"/>
    </row>
    <row r="173" spans="2:37" ht="15.75" customHeight="1">
      <c r="B173" s="93" t="s">
        <v>118</v>
      </c>
      <c r="C173" s="93"/>
      <c r="D173" s="93"/>
      <c r="E173" s="93"/>
      <c r="F173" s="93"/>
      <c r="G173" s="93"/>
      <c r="H173" s="49"/>
      <c r="I173" s="95"/>
      <c r="J173" s="95"/>
      <c r="K173" s="95"/>
      <c r="AK173" s="20"/>
    </row>
    <row r="174" spans="2:37" ht="15.75" customHeight="1">
      <c r="B174" s="96" t="s">
        <v>119</v>
      </c>
      <c r="C174" s="97" t="s">
        <v>114</v>
      </c>
      <c r="D174" s="97" t="s">
        <v>112</v>
      </c>
      <c r="E174" s="97" t="s">
        <v>114</v>
      </c>
      <c r="F174" s="98">
        <f>G174*200</f>
        <v>16000000</v>
      </c>
      <c r="G174" s="98">
        <v>80000</v>
      </c>
      <c r="H174" s="49"/>
      <c r="I174" s="99">
        <v>80000</v>
      </c>
      <c r="J174" s="99">
        <v>100000</v>
      </c>
      <c r="K174" s="99">
        <v>120000</v>
      </c>
      <c r="AK174" s="20"/>
    </row>
    <row r="175" spans="2:37" ht="22.5" customHeight="1">
      <c r="B175" s="96" t="s">
        <v>349</v>
      </c>
      <c r="C175" s="97" t="s">
        <v>112</v>
      </c>
      <c r="D175" s="97" t="s">
        <v>112</v>
      </c>
      <c r="E175" s="249">
        <v>0.1</v>
      </c>
      <c r="F175" s="98">
        <f>SUM(F174,F170:F172,F164,F163:F165)*E175</f>
        <v>72506860</v>
      </c>
      <c r="G175" s="98">
        <f>SUM(G174,G170:G172,G164,G163:G165)*E175</f>
        <v>362534.30000000005</v>
      </c>
      <c r="H175" s="100"/>
      <c r="I175" s="99">
        <f>INT(SUM(I174,I172,I170,I164,I165,I163,I160)*$E175/1000)*1000</f>
        <v>515000</v>
      </c>
      <c r="J175" s="99">
        <f>INT(SUM(J174,J172,J170,J164,J165,J163,J160)*$E175/1000)*1000</f>
        <v>744000</v>
      </c>
      <c r="K175" s="99">
        <f>INT(SUM(K174,K172,K170,K164,K165,K163,K160)*$E175/1000)*1000</f>
        <v>1078000</v>
      </c>
      <c r="AK175" s="20"/>
    </row>
    <row r="176" spans="2:37">
      <c r="B176" s="34"/>
      <c r="C176" s="34"/>
      <c r="D176" s="34"/>
      <c r="E176" s="34"/>
      <c r="F176" s="34"/>
      <c r="G176" s="34"/>
      <c r="H176" s="34"/>
      <c r="I176" s="41"/>
      <c r="J176" s="43"/>
      <c r="K176" s="43"/>
      <c r="AK176" s="20"/>
    </row>
    <row r="177" spans="2:37">
      <c r="B177" s="266" t="s">
        <v>120</v>
      </c>
      <c r="C177" s="267"/>
      <c r="D177" s="267"/>
      <c r="E177" s="267"/>
      <c r="F177" s="33">
        <f>SUM(F174:F175,F170:F172,F167:F167,F163:F165)</f>
        <v>819575460</v>
      </c>
      <c r="G177" s="33">
        <f>SUM(G174:G175,G170:G172,G167:G167,G163:G165)</f>
        <v>4097877.3</v>
      </c>
      <c r="H177" s="31"/>
      <c r="I177" s="42">
        <f>SUM(I163:I175)</f>
        <v>2149000</v>
      </c>
      <c r="J177" s="42">
        <f>SUM(J163:J175)</f>
        <v>3515000</v>
      </c>
      <c r="K177" s="42">
        <f>SUM(K163:K175)</f>
        <v>5212000</v>
      </c>
      <c r="AK177" s="20"/>
    </row>
    <row r="178" spans="2:37" ht="16.2" thickBot="1">
      <c r="B178" s="34"/>
      <c r="C178" s="34"/>
      <c r="D178" s="34"/>
      <c r="E178" s="34"/>
      <c r="F178" s="34"/>
      <c r="G178" s="34"/>
      <c r="H178" s="31"/>
      <c r="I178" s="43"/>
      <c r="J178" s="43"/>
      <c r="K178" s="43"/>
      <c r="AK178" s="20"/>
    </row>
    <row r="179" spans="2:37" ht="87" customHeight="1" thickBot="1">
      <c r="B179" s="254" t="s">
        <v>370</v>
      </c>
      <c r="C179" s="254"/>
      <c r="D179" s="254"/>
      <c r="E179" s="254"/>
      <c r="F179" s="254"/>
      <c r="G179" s="255"/>
      <c r="H179" s="31"/>
      <c r="I179" s="45" t="s">
        <v>128</v>
      </c>
      <c r="J179" s="45" t="s">
        <v>366</v>
      </c>
      <c r="K179" s="45" t="s">
        <v>367</v>
      </c>
      <c r="AK179" s="20"/>
    </row>
    <row r="180" spans="2:37" ht="30" customHeight="1" thickBot="1">
      <c r="B180" s="256"/>
      <c r="C180" s="256"/>
      <c r="D180" s="256"/>
      <c r="E180" s="256"/>
      <c r="F180" s="256"/>
      <c r="G180" s="257"/>
      <c r="H180" s="31"/>
      <c r="I180" s="46">
        <f>SUM(I177,I160)</f>
        <v>6119000</v>
      </c>
      <c r="J180" s="46">
        <f>SUM(I160,J160,J177)</f>
        <v>12611000</v>
      </c>
      <c r="K180" s="46">
        <f>SUM(I160,J160,K160,K177)</f>
        <v>21407000</v>
      </c>
      <c r="AK180" s="20"/>
    </row>
    <row r="181" spans="2:37">
      <c r="B181" s="20"/>
      <c r="C181" s="20"/>
      <c r="D181" s="20"/>
      <c r="E181" s="20"/>
      <c r="F181" s="20"/>
      <c r="G181" s="20"/>
      <c r="H181" s="37"/>
      <c r="I181" s="20"/>
      <c r="J181" s="20"/>
      <c r="K181" s="20"/>
    </row>
    <row r="182" spans="2:37" s="20" customFormat="1">
      <c r="F182" s="36"/>
      <c r="G182" s="36"/>
      <c r="H182" s="37"/>
    </row>
    <row r="183" spans="2:37" s="20" customFormat="1">
      <c r="F183" s="36"/>
      <c r="H183" s="37"/>
    </row>
    <row r="184" spans="2:37" s="20" customFormat="1">
      <c r="G184" s="36"/>
      <c r="H184" s="37"/>
    </row>
    <row r="185" spans="2:37" s="20" customFormat="1">
      <c r="F185" s="36"/>
      <c r="G185" s="36"/>
      <c r="H185" s="37"/>
    </row>
    <row r="186" spans="2:37" s="20" customFormat="1">
      <c r="G186" s="36"/>
      <c r="H186" s="37"/>
    </row>
    <row r="187" spans="2:37" s="20" customFormat="1">
      <c r="G187" s="36"/>
      <c r="H187" s="37"/>
    </row>
    <row r="188" spans="2:37" s="20" customFormat="1">
      <c r="G188" s="36"/>
      <c r="H188" s="37"/>
    </row>
    <row r="189" spans="2:37" s="20" customFormat="1">
      <c r="H189" s="37"/>
    </row>
    <row r="190" spans="2:37" s="20" customFormat="1">
      <c r="H190" s="37"/>
    </row>
    <row r="191" spans="2:37" s="20" customFormat="1">
      <c r="H191" s="37"/>
    </row>
    <row r="192" spans="2:37" s="20" customFormat="1">
      <c r="H192" s="37"/>
    </row>
    <row r="193" spans="8:8" s="20" customFormat="1">
      <c r="H193" s="37"/>
    </row>
    <row r="194" spans="8:8" s="20" customFormat="1">
      <c r="H194" s="37"/>
    </row>
    <row r="195" spans="8:8" s="20" customFormat="1">
      <c r="H195" s="37"/>
    </row>
    <row r="196" spans="8:8" s="20" customFormat="1">
      <c r="H196" s="37"/>
    </row>
    <row r="197" spans="8:8" s="20" customFormat="1">
      <c r="H197" s="37"/>
    </row>
    <row r="198" spans="8:8" s="20" customFormat="1">
      <c r="H198" s="37"/>
    </row>
    <row r="199" spans="8:8" s="20" customFormat="1">
      <c r="H199" s="37"/>
    </row>
    <row r="200" spans="8:8" s="20" customFormat="1">
      <c r="H200" s="37"/>
    </row>
    <row r="201" spans="8:8" s="20" customFormat="1">
      <c r="H201" s="37"/>
    </row>
    <row r="202" spans="8:8" s="20" customFormat="1">
      <c r="H202" s="37"/>
    </row>
    <row r="203" spans="8:8" s="20" customFormat="1">
      <c r="H203" s="37"/>
    </row>
    <row r="204" spans="8:8" s="20" customFormat="1">
      <c r="H204" s="37"/>
    </row>
    <row r="205" spans="8:8" s="20" customFormat="1">
      <c r="H205" s="37"/>
    </row>
    <row r="206" spans="8:8" s="20" customFormat="1">
      <c r="H206" s="37"/>
    </row>
    <row r="207" spans="8:8" s="20" customFormat="1">
      <c r="H207" s="37"/>
    </row>
    <row r="208" spans="8:8" s="20" customFormat="1">
      <c r="H208" s="37"/>
    </row>
    <row r="209" spans="8:8" s="20" customFormat="1">
      <c r="H209" s="37"/>
    </row>
    <row r="210" spans="8:8" s="20" customFormat="1">
      <c r="H210" s="37"/>
    </row>
    <row r="211" spans="8:8" s="20" customFormat="1">
      <c r="H211" s="37"/>
    </row>
    <row r="212" spans="8:8" s="20" customFormat="1">
      <c r="H212" s="37"/>
    </row>
    <row r="213" spans="8:8" s="20" customFormat="1">
      <c r="H213" s="37"/>
    </row>
    <row r="214" spans="8:8" s="20" customFormat="1">
      <c r="H214" s="37"/>
    </row>
    <row r="215" spans="8:8" s="20" customFormat="1">
      <c r="H215" s="37"/>
    </row>
    <row r="216" spans="8:8" s="20" customFormat="1">
      <c r="H216" s="37"/>
    </row>
    <row r="217" spans="8:8" s="20" customFormat="1">
      <c r="H217" s="37"/>
    </row>
    <row r="218" spans="8:8" s="20" customFormat="1">
      <c r="H218" s="37"/>
    </row>
    <row r="219" spans="8:8" s="20" customFormat="1">
      <c r="H219" s="37"/>
    </row>
    <row r="220" spans="8:8" s="20" customFormat="1">
      <c r="H220" s="37"/>
    </row>
    <row r="221" spans="8:8" s="20" customFormat="1">
      <c r="H221" s="37"/>
    </row>
    <row r="222" spans="8:8" s="20" customFormat="1">
      <c r="H222" s="37"/>
    </row>
    <row r="223" spans="8:8" s="20" customFormat="1">
      <c r="H223" s="37"/>
    </row>
    <row r="224" spans="8:8" s="20" customFormat="1">
      <c r="H224" s="37"/>
    </row>
    <row r="225" spans="8:8" s="20" customFormat="1">
      <c r="H225" s="37"/>
    </row>
    <row r="226" spans="8:8" s="20" customFormat="1">
      <c r="H226" s="37"/>
    </row>
    <row r="227" spans="8:8" s="20" customFormat="1">
      <c r="H227" s="37"/>
    </row>
    <row r="228" spans="8:8" s="20" customFormat="1">
      <c r="H228" s="37"/>
    </row>
    <row r="229" spans="8:8" s="20" customFormat="1">
      <c r="H229" s="37"/>
    </row>
    <row r="230" spans="8:8" s="20" customFormat="1">
      <c r="H230" s="37"/>
    </row>
    <row r="231" spans="8:8" s="20" customFormat="1">
      <c r="H231" s="37"/>
    </row>
    <row r="232" spans="8:8" s="20" customFormat="1">
      <c r="H232" s="37"/>
    </row>
    <row r="233" spans="8:8" s="20" customFormat="1">
      <c r="H233" s="37"/>
    </row>
    <row r="234" spans="8:8" s="20" customFormat="1">
      <c r="H234" s="37"/>
    </row>
    <row r="235" spans="8:8" s="20" customFormat="1">
      <c r="H235" s="37"/>
    </row>
    <row r="236" spans="8:8" s="20" customFormat="1">
      <c r="H236" s="37"/>
    </row>
    <row r="237" spans="8:8" s="20" customFormat="1">
      <c r="H237" s="37"/>
    </row>
    <row r="238" spans="8:8" s="20" customFormat="1">
      <c r="H238" s="37"/>
    </row>
    <row r="239" spans="8:8" s="20" customFormat="1">
      <c r="H239" s="37"/>
    </row>
    <row r="240" spans="8:8" s="20" customFormat="1">
      <c r="H240" s="37"/>
    </row>
    <row r="241" spans="8:8" s="20" customFormat="1">
      <c r="H241" s="37"/>
    </row>
    <row r="242" spans="8:8" s="20" customFormat="1">
      <c r="H242" s="37"/>
    </row>
    <row r="243" spans="8:8" s="20" customFormat="1">
      <c r="H243" s="37"/>
    </row>
    <row r="244" spans="8:8" s="20" customFormat="1">
      <c r="H244" s="37"/>
    </row>
    <row r="245" spans="8:8" s="20" customFormat="1">
      <c r="H245" s="37"/>
    </row>
    <row r="246" spans="8:8" s="20" customFormat="1">
      <c r="H246" s="37"/>
    </row>
    <row r="247" spans="8:8" s="20" customFormat="1">
      <c r="H247" s="37"/>
    </row>
    <row r="248" spans="8:8" s="20" customFormat="1">
      <c r="H248" s="37"/>
    </row>
    <row r="249" spans="8:8" s="20" customFormat="1">
      <c r="H249" s="37"/>
    </row>
    <row r="250" spans="8:8" s="20" customFormat="1">
      <c r="H250" s="37"/>
    </row>
    <row r="251" spans="8:8" s="20" customFormat="1">
      <c r="H251" s="37"/>
    </row>
    <row r="252" spans="8:8" s="20" customFormat="1">
      <c r="H252" s="37"/>
    </row>
    <row r="253" spans="8:8" s="20" customFormat="1">
      <c r="H253" s="37"/>
    </row>
    <row r="254" spans="8:8" s="20" customFormat="1">
      <c r="H254" s="37"/>
    </row>
    <row r="255" spans="8:8" s="20" customFormat="1">
      <c r="H255" s="37"/>
    </row>
    <row r="256" spans="8:8" s="20" customFormat="1">
      <c r="H256" s="37"/>
    </row>
    <row r="257" spans="8:8" s="20" customFormat="1">
      <c r="H257" s="37"/>
    </row>
    <row r="258" spans="8:8" s="20" customFormat="1">
      <c r="H258" s="37"/>
    </row>
    <row r="259" spans="8:8" s="20" customFormat="1">
      <c r="H259" s="37"/>
    </row>
    <row r="260" spans="8:8" s="20" customFormat="1">
      <c r="H260" s="37"/>
    </row>
    <row r="261" spans="8:8" s="20" customFormat="1">
      <c r="H261" s="37"/>
    </row>
    <row r="262" spans="8:8" s="20" customFormat="1">
      <c r="H262" s="37"/>
    </row>
    <row r="263" spans="8:8" s="20" customFormat="1">
      <c r="H263" s="37"/>
    </row>
    <row r="264" spans="8:8" s="20" customFormat="1">
      <c r="H264" s="37"/>
    </row>
    <row r="265" spans="8:8" s="20" customFormat="1">
      <c r="H265" s="37"/>
    </row>
    <row r="266" spans="8:8" s="20" customFormat="1">
      <c r="H266" s="37"/>
    </row>
    <row r="267" spans="8:8" s="20" customFormat="1">
      <c r="H267" s="37"/>
    </row>
    <row r="268" spans="8:8" s="20" customFormat="1">
      <c r="H268" s="37"/>
    </row>
    <row r="269" spans="8:8" s="20" customFormat="1">
      <c r="H269" s="37"/>
    </row>
    <row r="270" spans="8:8" s="20" customFormat="1">
      <c r="H270" s="37"/>
    </row>
    <row r="271" spans="8:8" s="20" customFormat="1">
      <c r="H271" s="37"/>
    </row>
    <row r="272" spans="8:8" s="20" customFormat="1">
      <c r="H272" s="37"/>
    </row>
    <row r="273" spans="8:8" s="20" customFormat="1">
      <c r="H273" s="37"/>
    </row>
    <row r="274" spans="8:8" s="20" customFormat="1">
      <c r="H274" s="37"/>
    </row>
    <row r="275" spans="8:8" s="20" customFormat="1">
      <c r="H275" s="37"/>
    </row>
    <row r="276" spans="8:8" s="20" customFormat="1">
      <c r="H276" s="37"/>
    </row>
    <row r="277" spans="8:8" s="20" customFormat="1">
      <c r="H277" s="37"/>
    </row>
    <row r="278" spans="8:8" s="20" customFormat="1">
      <c r="H278" s="37"/>
    </row>
    <row r="279" spans="8:8" s="20" customFormat="1">
      <c r="H279" s="37"/>
    </row>
    <row r="280" spans="8:8" s="20" customFormat="1">
      <c r="H280" s="37"/>
    </row>
    <row r="281" spans="8:8" s="20" customFormat="1">
      <c r="H281" s="37"/>
    </row>
    <row r="282" spans="8:8" s="20" customFormat="1">
      <c r="H282" s="37"/>
    </row>
    <row r="283" spans="8:8" s="20" customFormat="1">
      <c r="H283" s="37"/>
    </row>
    <row r="284" spans="8:8" s="20" customFormat="1">
      <c r="H284" s="37"/>
    </row>
    <row r="285" spans="8:8" s="20" customFormat="1">
      <c r="H285" s="37"/>
    </row>
    <row r="286" spans="8:8" s="20" customFormat="1">
      <c r="H286" s="37"/>
    </row>
    <row r="287" spans="8:8" s="20" customFormat="1">
      <c r="H287" s="37"/>
    </row>
    <row r="288" spans="8:8" s="20" customFormat="1">
      <c r="H288" s="37"/>
    </row>
    <row r="289" spans="8:8" s="20" customFormat="1">
      <c r="H289" s="37"/>
    </row>
    <row r="290" spans="8:8" s="20" customFormat="1">
      <c r="H290" s="37"/>
    </row>
    <row r="291" spans="8:8" s="20" customFormat="1">
      <c r="H291" s="37"/>
    </row>
    <row r="292" spans="8:8" s="20" customFormat="1">
      <c r="H292" s="37"/>
    </row>
    <row r="293" spans="8:8" s="20" customFormat="1">
      <c r="H293" s="37"/>
    </row>
    <row r="294" spans="8:8" s="20" customFormat="1">
      <c r="H294" s="37"/>
    </row>
    <row r="295" spans="8:8" s="20" customFormat="1">
      <c r="H295" s="37"/>
    </row>
    <row r="296" spans="8:8" s="20" customFormat="1">
      <c r="H296" s="37"/>
    </row>
    <row r="297" spans="8:8" s="20" customFormat="1">
      <c r="H297" s="37"/>
    </row>
    <row r="298" spans="8:8" s="20" customFormat="1">
      <c r="H298" s="37"/>
    </row>
    <row r="299" spans="8:8" s="20" customFormat="1">
      <c r="H299" s="37"/>
    </row>
    <row r="300" spans="8:8" s="20" customFormat="1">
      <c r="H300" s="37"/>
    </row>
    <row r="301" spans="8:8" s="20" customFormat="1">
      <c r="H301" s="37"/>
    </row>
    <row r="302" spans="8:8" s="20" customFormat="1">
      <c r="H302" s="37"/>
    </row>
    <row r="303" spans="8:8" s="20" customFormat="1">
      <c r="H303" s="37"/>
    </row>
    <row r="304" spans="8:8" s="20" customFormat="1">
      <c r="H304" s="37"/>
    </row>
    <row r="305" spans="8:8" s="20" customFormat="1">
      <c r="H305" s="37"/>
    </row>
    <row r="306" spans="8:8" s="20" customFormat="1">
      <c r="H306" s="37"/>
    </row>
    <row r="307" spans="8:8" s="20" customFormat="1">
      <c r="H307" s="37"/>
    </row>
    <row r="308" spans="8:8" s="20" customFormat="1">
      <c r="H308" s="37"/>
    </row>
    <row r="309" spans="8:8" s="20" customFormat="1">
      <c r="H309" s="37"/>
    </row>
    <row r="310" spans="8:8" s="20" customFormat="1">
      <c r="H310" s="37"/>
    </row>
    <row r="311" spans="8:8" s="20" customFormat="1">
      <c r="H311" s="37"/>
    </row>
    <row r="312" spans="8:8" s="20" customFormat="1">
      <c r="H312" s="37"/>
    </row>
    <row r="313" spans="8:8" s="20" customFormat="1">
      <c r="H313" s="37"/>
    </row>
    <row r="314" spans="8:8" s="20" customFormat="1">
      <c r="H314" s="37"/>
    </row>
    <row r="315" spans="8:8" s="20" customFormat="1">
      <c r="H315" s="37"/>
    </row>
    <row r="316" spans="8:8" s="20" customFormat="1">
      <c r="H316" s="37"/>
    </row>
    <row r="317" spans="8:8" s="20" customFormat="1">
      <c r="H317" s="37"/>
    </row>
    <row r="318" spans="8:8" s="20" customFormat="1">
      <c r="H318" s="37"/>
    </row>
    <row r="319" spans="8:8" s="20" customFormat="1">
      <c r="H319" s="37"/>
    </row>
    <row r="320" spans="8:8" s="20" customFormat="1">
      <c r="H320" s="37"/>
    </row>
    <row r="321" spans="8:8" s="20" customFormat="1">
      <c r="H321" s="37"/>
    </row>
    <row r="322" spans="8:8" s="20" customFormat="1">
      <c r="H322" s="37"/>
    </row>
    <row r="323" spans="8:8" s="20" customFormat="1">
      <c r="H323" s="37"/>
    </row>
    <row r="324" spans="8:8" s="20" customFormat="1">
      <c r="H324" s="37"/>
    </row>
    <row r="325" spans="8:8" s="20" customFormat="1">
      <c r="H325" s="37"/>
    </row>
    <row r="326" spans="8:8" s="20" customFormat="1">
      <c r="H326" s="37"/>
    </row>
    <row r="327" spans="8:8" s="20" customFormat="1">
      <c r="H327" s="37"/>
    </row>
    <row r="328" spans="8:8" s="20" customFormat="1">
      <c r="H328" s="37"/>
    </row>
    <row r="329" spans="8:8" s="20" customFormat="1">
      <c r="H329" s="37"/>
    </row>
    <row r="330" spans="8:8" s="20" customFormat="1">
      <c r="H330" s="37"/>
    </row>
    <row r="331" spans="8:8" s="20" customFormat="1">
      <c r="H331" s="37"/>
    </row>
    <row r="332" spans="8:8" s="20" customFormat="1">
      <c r="H332" s="37"/>
    </row>
    <row r="333" spans="8:8" s="20" customFormat="1">
      <c r="H333" s="37"/>
    </row>
    <row r="334" spans="8:8" s="20" customFormat="1">
      <c r="H334" s="37"/>
    </row>
    <row r="335" spans="8:8" s="20" customFormat="1">
      <c r="H335" s="37"/>
    </row>
    <row r="336" spans="8:8" s="20" customFormat="1">
      <c r="H336" s="37"/>
    </row>
    <row r="337" spans="8:8" s="20" customFormat="1">
      <c r="H337" s="37"/>
    </row>
    <row r="338" spans="8:8" s="20" customFormat="1">
      <c r="H338" s="37"/>
    </row>
    <row r="339" spans="8:8" s="20" customFormat="1">
      <c r="H339" s="37"/>
    </row>
    <row r="340" spans="8:8" s="20" customFormat="1">
      <c r="H340" s="37"/>
    </row>
    <row r="341" spans="8:8" s="20" customFormat="1">
      <c r="H341" s="37"/>
    </row>
    <row r="342" spans="8:8" s="20" customFormat="1">
      <c r="H342" s="37"/>
    </row>
    <row r="343" spans="8:8" s="20" customFormat="1">
      <c r="H343" s="37"/>
    </row>
    <row r="344" spans="8:8" s="20" customFormat="1">
      <c r="H344" s="37"/>
    </row>
    <row r="345" spans="8:8" s="20" customFormat="1">
      <c r="H345" s="37"/>
    </row>
    <row r="346" spans="8:8" s="20" customFormat="1">
      <c r="H346" s="37"/>
    </row>
    <row r="347" spans="8:8" s="20" customFormat="1">
      <c r="H347" s="37"/>
    </row>
    <row r="348" spans="8:8" s="20" customFormat="1">
      <c r="H348" s="37"/>
    </row>
    <row r="349" spans="8:8" s="20" customFormat="1">
      <c r="H349" s="37"/>
    </row>
    <row r="350" spans="8:8" s="20" customFormat="1">
      <c r="H350" s="37"/>
    </row>
    <row r="351" spans="8:8" s="20" customFormat="1">
      <c r="H351" s="37"/>
    </row>
    <row r="352" spans="8:8" s="20" customFormat="1">
      <c r="H352" s="37"/>
    </row>
    <row r="353" spans="8:8" s="20" customFormat="1">
      <c r="H353" s="37"/>
    </row>
    <row r="354" spans="8:8" s="20" customFormat="1">
      <c r="H354" s="37"/>
    </row>
    <row r="355" spans="8:8" s="20" customFormat="1">
      <c r="H355" s="37"/>
    </row>
    <row r="356" spans="8:8" s="20" customFormat="1">
      <c r="H356" s="37"/>
    </row>
    <row r="357" spans="8:8" s="20" customFormat="1">
      <c r="H357" s="37"/>
    </row>
    <row r="358" spans="8:8" s="20" customFormat="1">
      <c r="H358" s="37"/>
    </row>
    <row r="359" spans="8:8" s="20" customFormat="1">
      <c r="H359" s="37"/>
    </row>
    <row r="360" spans="8:8" s="20" customFormat="1">
      <c r="H360" s="37"/>
    </row>
    <row r="361" spans="8:8" s="20" customFormat="1">
      <c r="H361" s="37"/>
    </row>
    <row r="362" spans="8:8" s="20" customFormat="1">
      <c r="H362" s="37"/>
    </row>
    <row r="363" spans="8:8" s="20" customFormat="1">
      <c r="H363" s="37"/>
    </row>
    <row r="364" spans="8:8" s="20" customFormat="1">
      <c r="H364" s="37"/>
    </row>
    <row r="365" spans="8:8" s="20" customFormat="1">
      <c r="H365" s="37"/>
    </row>
    <row r="366" spans="8:8" s="20" customFormat="1">
      <c r="H366" s="37"/>
    </row>
    <row r="367" spans="8:8" s="20" customFormat="1">
      <c r="H367" s="37"/>
    </row>
    <row r="368" spans="8:8" s="20" customFormat="1">
      <c r="H368" s="37"/>
    </row>
    <row r="369" spans="8:8" s="20" customFormat="1">
      <c r="H369" s="37"/>
    </row>
    <row r="370" spans="8:8" s="20" customFormat="1">
      <c r="H370" s="37"/>
    </row>
    <row r="371" spans="8:8" s="20" customFormat="1">
      <c r="H371" s="37"/>
    </row>
    <row r="372" spans="8:8" s="20" customFormat="1">
      <c r="H372" s="37"/>
    </row>
    <row r="373" spans="8:8" s="20" customFormat="1">
      <c r="H373" s="37"/>
    </row>
    <row r="374" spans="8:8" s="20" customFormat="1">
      <c r="H374" s="37"/>
    </row>
    <row r="375" spans="8:8" s="20" customFormat="1">
      <c r="H375" s="37"/>
    </row>
    <row r="376" spans="8:8" s="20" customFormat="1">
      <c r="H376" s="37"/>
    </row>
    <row r="377" spans="8:8" s="20" customFormat="1">
      <c r="H377" s="37"/>
    </row>
    <row r="378" spans="8:8" s="20" customFormat="1">
      <c r="H378" s="37"/>
    </row>
    <row r="379" spans="8:8" s="20" customFormat="1">
      <c r="H379" s="37"/>
    </row>
    <row r="380" spans="8:8" s="20" customFormat="1">
      <c r="H380" s="37"/>
    </row>
    <row r="381" spans="8:8" s="20" customFormat="1">
      <c r="H381" s="37"/>
    </row>
    <row r="382" spans="8:8" s="20" customFormat="1">
      <c r="H382" s="37"/>
    </row>
    <row r="383" spans="8:8" s="20" customFormat="1">
      <c r="H383" s="37"/>
    </row>
    <row r="384" spans="8:8" s="20" customFormat="1">
      <c r="H384" s="37"/>
    </row>
    <row r="385" spans="8:8" s="20" customFormat="1">
      <c r="H385" s="37"/>
    </row>
    <row r="386" spans="8:8" s="20" customFormat="1">
      <c r="H386" s="37"/>
    </row>
    <row r="387" spans="8:8" s="20" customFormat="1">
      <c r="H387" s="37"/>
    </row>
    <row r="388" spans="8:8" s="20" customFormat="1">
      <c r="H388" s="37"/>
    </row>
    <row r="389" spans="8:8" s="20" customFormat="1">
      <c r="H389" s="37"/>
    </row>
    <row r="390" spans="8:8" s="20" customFormat="1">
      <c r="H390" s="37"/>
    </row>
    <row r="391" spans="8:8" s="20" customFormat="1">
      <c r="H391" s="37"/>
    </row>
    <row r="392" spans="8:8" s="20" customFormat="1">
      <c r="H392" s="37"/>
    </row>
    <row r="393" spans="8:8" s="20" customFormat="1">
      <c r="H393" s="37"/>
    </row>
    <row r="394" spans="8:8" s="20" customFormat="1">
      <c r="H394" s="37"/>
    </row>
    <row r="395" spans="8:8" s="20" customFormat="1">
      <c r="H395" s="37"/>
    </row>
    <row r="396" spans="8:8" s="20" customFormat="1">
      <c r="H396" s="37"/>
    </row>
    <row r="397" spans="8:8" s="20" customFormat="1">
      <c r="H397" s="37"/>
    </row>
    <row r="398" spans="8:8" s="20" customFormat="1">
      <c r="H398" s="37"/>
    </row>
    <row r="399" spans="8:8" s="20" customFormat="1">
      <c r="H399" s="37"/>
    </row>
    <row r="400" spans="8:8" s="20" customFormat="1">
      <c r="H400" s="37"/>
    </row>
    <row r="401" spans="8:8" s="20" customFormat="1">
      <c r="H401" s="37"/>
    </row>
    <row r="402" spans="8:8" s="20" customFormat="1">
      <c r="H402" s="37"/>
    </row>
    <row r="403" spans="8:8" s="20" customFormat="1">
      <c r="H403" s="37"/>
    </row>
    <row r="404" spans="8:8" s="20" customFormat="1">
      <c r="H404" s="37"/>
    </row>
    <row r="405" spans="8:8" s="20" customFormat="1">
      <c r="H405" s="37"/>
    </row>
    <row r="406" spans="8:8" s="20" customFormat="1">
      <c r="H406" s="37"/>
    </row>
    <row r="407" spans="8:8" s="20" customFormat="1">
      <c r="H407" s="37"/>
    </row>
    <row r="408" spans="8:8" s="20" customFormat="1">
      <c r="H408" s="37"/>
    </row>
    <row r="409" spans="8:8" s="20" customFormat="1">
      <c r="H409" s="37"/>
    </row>
    <row r="410" spans="8:8" s="20" customFormat="1">
      <c r="H410" s="37"/>
    </row>
    <row r="411" spans="8:8" s="20" customFormat="1">
      <c r="H411" s="37"/>
    </row>
    <row r="412" spans="8:8" s="20" customFormat="1">
      <c r="H412" s="37"/>
    </row>
    <row r="413" spans="8:8" s="20" customFormat="1">
      <c r="H413" s="37"/>
    </row>
    <row r="414" spans="8:8" s="20" customFormat="1">
      <c r="H414" s="37"/>
    </row>
    <row r="415" spans="8:8" s="20" customFormat="1">
      <c r="H415" s="37"/>
    </row>
    <row r="416" spans="8:8" s="20" customFormat="1">
      <c r="H416" s="37"/>
    </row>
    <row r="417" spans="8:8" s="20" customFormat="1">
      <c r="H417" s="37"/>
    </row>
    <row r="418" spans="8:8" s="20" customFormat="1">
      <c r="H418" s="37"/>
    </row>
    <row r="419" spans="8:8" s="20" customFormat="1">
      <c r="H419" s="37"/>
    </row>
    <row r="420" spans="8:8" s="20" customFormat="1">
      <c r="H420" s="37"/>
    </row>
    <row r="421" spans="8:8" s="20" customFormat="1">
      <c r="H421" s="37"/>
    </row>
    <row r="422" spans="8:8" s="20" customFormat="1">
      <c r="H422" s="37"/>
    </row>
    <row r="423" spans="8:8" s="20" customFormat="1">
      <c r="H423" s="37"/>
    </row>
    <row r="424" spans="8:8" s="20" customFormat="1">
      <c r="H424" s="37"/>
    </row>
    <row r="425" spans="8:8" s="20" customFormat="1">
      <c r="H425" s="37"/>
    </row>
    <row r="426" spans="8:8" s="20" customFormat="1">
      <c r="H426" s="37"/>
    </row>
    <row r="427" spans="8:8" s="20" customFormat="1">
      <c r="H427" s="37"/>
    </row>
    <row r="428" spans="8:8" s="20" customFormat="1">
      <c r="H428" s="37"/>
    </row>
    <row r="429" spans="8:8" s="20" customFormat="1">
      <c r="H429" s="37"/>
    </row>
    <row r="430" spans="8:8" s="20" customFormat="1">
      <c r="H430" s="37"/>
    </row>
    <row r="431" spans="8:8" s="20" customFormat="1">
      <c r="H431" s="37"/>
    </row>
    <row r="432" spans="8:8" s="20" customFormat="1">
      <c r="H432" s="37"/>
    </row>
    <row r="433" spans="8:8" s="20" customFormat="1">
      <c r="H433" s="37"/>
    </row>
    <row r="434" spans="8:8" s="20" customFormat="1">
      <c r="H434" s="37"/>
    </row>
    <row r="435" spans="8:8" s="20" customFormat="1">
      <c r="H435" s="37"/>
    </row>
    <row r="436" spans="8:8" s="20" customFormat="1">
      <c r="H436" s="37"/>
    </row>
    <row r="437" spans="8:8" s="20" customFormat="1">
      <c r="H437" s="37"/>
    </row>
    <row r="438" spans="8:8" s="20" customFormat="1">
      <c r="H438" s="37"/>
    </row>
    <row r="439" spans="8:8" s="20" customFormat="1">
      <c r="H439" s="37"/>
    </row>
    <row r="440" spans="8:8" s="20" customFormat="1">
      <c r="H440" s="37"/>
    </row>
    <row r="441" spans="8:8" s="20" customFormat="1">
      <c r="H441" s="37"/>
    </row>
    <row r="442" spans="8:8" s="20" customFormat="1">
      <c r="H442" s="37"/>
    </row>
    <row r="443" spans="8:8" s="20" customFormat="1">
      <c r="H443" s="37"/>
    </row>
    <row r="444" spans="8:8" s="20" customFormat="1">
      <c r="H444" s="37"/>
    </row>
    <row r="445" spans="8:8" s="20" customFormat="1">
      <c r="H445" s="37"/>
    </row>
    <row r="446" spans="8:8" s="20" customFormat="1">
      <c r="H446" s="37"/>
    </row>
    <row r="447" spans="8:8" s="20" customFormat="1">
      <c r="H447" s="37"/>
    </row>
    <row r="448" spans="8:8" s="20" customFormat="1">
      <c r="H448" s="37"/>
    </row>
    <row r="449" spans="8:8" s="20" customFormat="1">
      <c r="H449" s="37"/>
    </row>
    <row r="450" spans="8:8" s="20" customFormat="1">
      <c r="H450" s="37"/>
    </row>
    <row r="451" spans="8:8" s="20" customFormat="1">
      <c r="H451" s="37"/>
    </row>
    <row r="452" spans="8:8" s="20" customFormat="1">
      <c r="H452" s="37"/>
    </row>
    <row r="453" spans="8:8" s="20" customFormat="1">
      <c r="H453" s="37"/>
    </row>
    <row r="454" spans="8:8" s="20" customFormat="1">
      <c r="H454" s="37"/>
    </row>
    <row r="455" spans="8:8" s="20" customFormat="1">
      <c r="H455" s="37"/>
    </row>
    <row r="456" spans="8:8" s="20" customFormat="1">
      <c r="H456" s="37"/>
    </row>
    <row r="457" spans="8:8" s="20" customFormat="1">
      <c r="H457" s="37"/>
    </row>
    <row r="458" spans="8:8" s="20" customFormat="1">
      <c r="H458" s="37"/>
    </row>
    <row r="459" spans="8:8" s="20" customFormat="1">
      <c r="H459" s="37"/>
    </row>
    <row r="460" spans="8:8" s="20" customFormat="1">
      <c r="H460" s="37"/>
    </row>
    <row r="461" spans="8:8" s="20" customFormat="1">
      <c r="H461" s="37"/>
    </row>
    <row r="462" spans="8:8" s="20" customFormat="1">
      <c r="H462" s="37"/>
    </row>
    <row r="463" spans="8:8" s="20" customFormat="1">
      <c r="H463" s="37"/>
    </row>
    <row r="464" spans="8:8" s="20" customFormat="1">
      <c r="H464" s="37"/>
    </row>
    <row r="465" spans="8:8" s="20" customFormat="1">
      <c r="H465" s="37"/>
    </row>
    <row r="466" spans="8:8" s="20" customFormat="1">
      <c r="H466" s="37"/>
    </row>
    <row r="467" spans="8:8" s="20" customFormat="1">
      <c r="H467" s="37"/>
    </row>
    <row r="468" spans="8:8" s="20" customFormat="1">
      <c r="H468" s="37"/>
    </row>
    <row r="469" spans="8:8" s="20" customFormat="1">
      <c r="H469" s="37"/>
    </row>
    <row r="470" spans="8:8" s="20" customFormat="1">
      <c r="H470" s="37"/>
    </row>
    <row r="471" spans="8:8" s="20" customFormat="1">
      <c r="H471" s="37"/>
    </row>
    <row r="472" spans="8:8" s="20" customFormat="1">
      <c r="H472" s="37"/>
    </row>
    <row r="473" spans="8:8" s="20" customFormat="1">
      <c r="H473" s="37"/>
    </row>
    <row r="474" spans="8:8" s="20" customFormat="1">
      <c r="H474" s="37"/>
    </row>
    <row r="475" spans="8:8" s="20" customFormat="1">
      <c r="H475" s="37"/>
    </row>
    <row r="476" spans="8:8" s="20" customFormat="1">
      <c r="H476" s="37"/>
    </row>
    <row r="477" spans="8:8" s="20" customFormat="1">
      <c r="H477" s="37"/>
    </row>
    <row r="478" spans="8:8" s="20" customFormat="1">
      <c r="H478" s="37"/>
    </row>
    <row r="479" spans="8:8" s="20" customFormat="1">
      <c r="H479" s="37"/>
    </row>
    <row r="480" spans="8:8" s="20" customFormat="1">
      <c r="H480" s="37"/>
    </row>
    <row r="481" spans="8:8" s="20" customFormat="1">
      <c r="H481" s="37"/>
    </row>
    <row r="482" spans="8:8" s="20" customFormat="1">
      <c r="H482" s="37"/>
    </row>
    <row r="483" spans="8:8" s="20" customFormat="1">
      <c r="H483" s="37"/>
    </row>
    <row r="484" spans="8:8" s="20" customFormat="1">
      <c r="H484" s="37"/>
    </row>
    <row r="485" spans="8:8" s="20" customFormat="1">
      <c r="H485" s="37"/>
    </row>
    <row r="486" spans="8:8" s="20" customFormat="1">
      <c r="H486" s="37"/>
    </row>
    <row r="487" spans="8:8" s="20" customFormat="1">
      <c r="H487" s="37"/>
    </row>
    <row r="488" spans="8:8" s="20" customFormat="1">
      <c r="H488" s="37"/>
    </row>
    <row r="489" spans="8:8" s="20" customFormat="1">
      <c r="H489" s="37"/>
    </row>
  </sheetData>
  <mergeCells count="48">
    <mergeCell ref="I43:I44"/>
    <mergeCell ref="J43:J44"/>
    <mergeCell ref="J1:J2"/>
    <mergeCell ref="F158:G158"/>
    <mergeCell ref="B158:E159"/>
    <mergeCell ref="B43:E43"/>
    <mergeCell ref="F43:G43"/>
    <mergeCell ref="B61:G61"/>
    <mergeCell ref="B74:E74"/>
    <mergeCell ref="B52:E52"/>
    <mergeCell ref="B41:E41"/>
    <mergeCell ref="B1:E1"/>
    <mergeCell ref="F1:G1"/>
    <mergeCell ref="B3:G3"/>
    <mergeCell ref="B84:E84"/>
    <mergeCell ref="B93:E93"/>
    <mergeCell ref="J132:J133"/>
    <mergeCell ref="K132:K133"/>
    <mergeCell ref="K1:K2"/>
    <mergeCell ref="B97:E97"/>
    <mergeCell ref="B130:E130"/>
    <mergeCell ref="B60:E60"/>
    <mergeCell ref="F97:G97"/>
    <mergeCell ref="B89:E89"/>
    <mergeCell ref="B90:G90"/>
    <mergeCell ref="B94:E94"/>
    <mergeCell ref="B85:G85"/>
    <mergeCell ref="B75:G75"/>
    <mergeCell ref="B80:E80"/>
    <mergeCell ref="I1:I2"/>
    <mergeCell ref="H1:H2"/>
    <mergeCell ref="H43:H44"/>
    <mergeCell ref="B179:G180"/>
    <mergeCell ref="K43:K44"/>
    <mergeCell ref="H97:H98"/>
    <mergeCell ref="I97:I98"/>
    <mergeCell ref="J97:J98"/>
    <mergeCell ref="K97:K98"/>
    <mergeCell ref="K158:K159"/>
    <mergeCell ref="J158:J159"/>
    <mergeCell ref="I158:I159"/>
    <mergeCell ref="B177:E177"/>
    <mergeCell ref="B132:E132"/>
    <mergeCell ref="F132:G132"/>
    <mergeCell ref="B157:E157"/>
    <mergeCell ref="B160:E160"/>
    <mergeCell ref="H132:H133"/>
    <mergeCell ref="I132:I133"/>
  </mergeCells>
  <conditionalFormatting sqref="B46">
    <cfRule type="colorScale" priority="1">
      <colorScale>
        <cfvo type="min" val="0"/>
        <cfvo type="percentile" val="50"/>
        <cfvo type="max" val="0"/>
        <color rgb="FFF8696B"/>
        <color rgb="FFFFEB84"/>
        <color rgb="FF63BE7B"/>
      </colorScale>
    </cfRule>
  </conditionalFormatting>
  <pageMargins left="0.19685039370078741" right="0.19685039370078741" top="0.19685039370078741" bottom="0.19685039370078741" header="0" footer="0"/>
  <pageSetup paperSize="8" scale="60" orientation="landscape" horizontalDpi="300" verticalDpi="3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C1:W60"/>
  <sheetViews>
    <sheetView topLeftCell="A5" zoomScale="75" zoomScaleNormal="75" zoomScalePageLayoutView="75" workbookViewId="0">
      <selection activeCell="G36" sqref="G32:H36"/>
    </sheetView>
  </sheetViews>
  <sheetFormatPr baseColWidth="10" defaultRowHeight="15.6"/>
  <cols>
    <col min="1" max="3" width="5.19921875" customWidth="1"/>
    <col min="4" max="15" width="4.69921875" customWidth="1"/>
    <col min="19" max="20" width="15.796875" bestFit="1" customWidth="1"/>
    <col min="21" max="21" width="14.19921875" customWidth="1"/>
  </cols>
  <sheetData>
    <row r="1" spans="3:23" ht="22.95" customHeight="1">
      <c r="C1" s="212"/>
      <c r="D1" s="297" t="s">
        <v>230</v>
      </c>
      <c r="E1" s="297"/>
      <c r="F1" s="297"/>
      <c r="G1" s="297"/>
      <c r="H1" s="297"/>
      <c r="I1" s="297"/>
      <c r="J1" s="297"/>
      <c r="K1" s="213"/>
      <c r="M1" s="120" t="s">
        <v>229</v>
      </c>
    </row>
    <row r="2" spans="3:23" ht="22.95" customHeight="1">
      <c r="C2" s="211"/>
      <c r="D2" s="301" t="s">
        <v>242</v>
      </c>
      <c r="E2" s="302"/>
      <c r="F2" s="212"/>
      <c r="G2" s="116"/>
      <c r="H2" s="213"/>
      <c r="I2" s="4" t="s">
        <v>238</v>
      </c>
      <c r="J2" s="4"/>
      <c r="K2" s="201"/>
      <c r="N2" s="211" t="s">
        <v>229</v>
      </c>
      <c r="Q2" t="s">
        <v>244</v>
      </c>
    </row>
    <row r="3" spans="3:23" ht="22.95" customHeight="1">
      <c r="C3" s="211"/>
      <c r="D3" s="4"/>
      <c r="E3" s="4"/>
      <c r="F3" s="115"/>
      <c r="G3" s="115"/>
      <c r="H3" s="115"/>
      <c r="I3" s="4"/>
      <c r="J3" s="4"/>
      <c r="K3" s="201"/>
      <c r="Q3" t="s">
        <v>236</v>
      </c>
      <c r="R3">
        <f>48*3</f>
        <v>144</v>
      </c>
      <c r="S3" t="s">
        <v>237</v>
      </c>
    </row>
    <row r="4" spans="3:23" ht="22.95" customHeight="1">
      <c r="C4" s="211"/>
      <c r="D4" s="4"/>
      <c r="E4" s="4"/>
      <c r="F4" s="115"/>
      <c r="G4" s="115"/>
      <c r="H4" s="115"/>
      <c r="I4" s="4"/>
      <c r="J4" s="4"/>
      <c r="K4" s="201"/>
      <c r="Q4" t="s">
        <v>234</v>
      </c>
      <c r="R4">
        <v>27</v>
      </c>
      <c r="S4" t="s">
        <v>237</v>
      </c>
    </row>
    <row r="5" spans="3:23" ht="22.95" customHeight="1">
      <c r="C5" s="211"/>
      <c r="D5" s="4"/>
      <c r="E5" s="4"/>
      <c r="F5" s="115"/>
      <c r="G5" s="300" t="s">
        <v>241</v>
      </c>
      <c r="H5" s="115"/>
      <c r="I5" s="4"/>
      <c r="J5" s="4"/>
      <c r="K5" s="201"/>
      <c r="Q5" t="s">
        <v>235</v>
      </c>
      <c r="R5">
        <f>R3*R4</f>
        <v>3888</v>
      </c>
      <c r="S5" t="s">
        <v>17</v>
      </c>
    </row>
    <row r="6" spans="3:23" ht="22.95" customHeight="1">
      <c r="C6" s="211"/>
      <c r="D6" s="4"/>
      <c r="E6" s="4"/>
      <c r="F6" s="115"/>
      <c r="G6" s="300"/>
      <c r="H6" s="115"/>
      <c r="I6" s="4"/>
      <c r="J6" s="4"/>
      <c r="K6" s="201"/>
    </row>
    <row r="7" spans="3:23" ht="22.95" customHeight="1">
      <c r="C7" s="211"/>
      <c r="D7" s="4"/>
      <c r="E7" s="4"/>
      <c r="F7" s="115"/>
      <c r="G7" s="300"/>
      <c r="H7" s="115"/>
      <c r="I7" s="4"/>
      <c r="J7" s="4"/>
      <c r="K7" s="201"/>
      <c r="Q7" s="216" t="s">
        <v>245</v>
      </c>
      <c r="R7">
        <f>92*9</f>
        <v>828</v>
      </c>
      <c r="S7" t="s">
        <v>17</v>
      </c>
      <c r="T7" t="s">
        <v>265</v>
      </c>
      <c r="U7">
        <f>92</f>
        <v>92</v>
      </c>
      <c r="W7">
        <f>R7/R5</f>
        <v>0.21296296296296297</v>
      </c>
    </row>
    <row r="8" spans="3:23" ht="22.95" customHeight="1">
      <c r="C8" s="298">
        <f>30*3+12</f>
        <v>102</v>
      </c>
      <c r="D8" s="4"/>
      <c r="E8" s="4"/>
      <c r="F8" s="115"/>
      <c r="G8" s="300"/>
      <c r="H8" s="115"/>
      <c r="I8" s="4"/>
      <c r="J8" s="4"/>
      <c r="K8" s="201"/>
      <c r="Q8" s="216" t="s">
        <v>246</v>
      </c>
      <c r="R8">
        <v>630</v>
      </c>
      <c r="S8" t="s">
        <v>17</v>
      </c>
      <c r="T8" t="s">
        <v>266</v>
      </c>
      <c r="U8">
        <f xml:space="preserve"> 630/5</f>
        <v>126</v>
      </c>
      <c r="W8">
        <f>R8/R5</f>
        <v>0.16203703703703703</v>
      </c>
    </row>
    <row r="9" spans="3:23" ht="22.95" customHeight="1">
      <c r="C9" s="298"/>
      <c r="D9" s="4"/>
      <c r="E9" s="4"/>
      <c r="F9" s="115"/>
      <c r="G9" s="300"/>
      <c r="H9" s="115"/>
      <c r="I9" s="4"/>
      <c r="J9" s="4"/>
      <c r="K9" s="201"/>
      <c r="Q9" s="216" t="s">
        <v>259</v>
      </c>
      <c r="R9" s="219">
        <f>(R7+R8)/R5</f>
        <v>0.375</v>
      </c>
    </row>
    <row r="10" spans="3:23" ht="22.95" customHeight="1">
      <c r="C10" s="299" t="s">
        <v>233</v>
      </c>
      <c r="D10" s="212"/>
      <c r="E10" s="115"/>
      <c r="F10" s="115"/>
      <c r="G10" s="300"/>
      <c r="H10" s="115"/>
      <c r="I10" s="115"/>
      <c r="J10" s="213"/>
      <c r="K10" s="201"/>
      <c r="Q10" s="216"/>
    </row>
    <row r="11" spans="3:23" ht="22.95" customHeight="1">
      <c r="C11" s="299"/>
      <c r="D11" s="214"/>
      <c r="E11" s="115"/>
      <c r="F11" s="115"/>
      <c r="G11" s="300"/>
      <c r="H11" s="115"/>
      <c r="I11" s="115"/>
      <c r="J11" s="215"/>
      <c r="K11" s="201"/>
      <c r="R11" t="s">
        <v>249</v>
      </c>
      <c r="S11" t="s">
        <v>248</v>
      </c>
      <c r="T11" t="s">
        <v>251</v>
      </c>
      <c r="U11" t="s">
        <v>247</v>
      </c>
    </row>
    <row r="12" spans="3:23" ht="22.95" customHeight="1">
      <c r="C12" s="299"/>
      <c r="D12" s="4"/>
      <c r="E12" s="4"/>
      <c r="F12" s="115"/>
      <c r="G12" s="300"/>
      <c r="H12" s="115"/>
      <c r="I12" s="4"/>
      <c r="J12" s="4"/>
      <c r="K12" s="201"/>
      <c r="Q12" s="216" t="s">
        <v>263</v>
      </c>
      <c r="R12" t="s">
        <v>17</v>
      </c>
      <c r="S12" s="217">
        <v>12000</v>
      </c>
      <c r="T12" s="217">
        <f>R5</f>
        <v>3888</v>
      </c>
      <c r="U12" s="217">
        <f>S12*T12</f>
        <v>46656000</v>
      </c>
    </row>
    <row r="13" spans="3:23" ht="22.95" customHeight="1">
      <c r="C13" s="299"/>
      <c r="D13" s="4"/>
      <c r="E13" s="4"/>
      <c r="F13" s="115"/>
      <c r="G13" s="300"/>
      <c r="H13" s="115"/>
      <c r="I13" s="4"/>
      <c r="J13" s="4"/>
      <c r="K13" s="201"/>
      <c r="Q13" s="216" t="s">
        <v>264</v>
      </c>
      <c r="R13" t="s">
        <v>17</v>
      </c>
      <c r="S13" s="217">
        <v>11000</v>
      </c>
      <c r="T13" s="217">
        <f>R5</f>
        <v>3888</v>
      </c>
      <c r="U13" s="217">
        <f>S13*T13</f>
        <v>42768000</v>
      </c>
    </row>
    <row r="14" spans="3:23" ht="22.95" customHeight="1">
      <c r="C14" s="299"/>
      <c r="D14" s="4"/>
      <c r="E14" s="4"/>
      <c r="F14" s="115"/>
      <c r="G14" s="300"/>
      <c r="H14" s="115"/>
      <c r="I14" s="4"/>
      <c r="J14" s="4"/>
      <c r="K14" s="201"/>
      <c r="Q14" s="216" t="s">
        <v>252</v>
      </c>
      <c r="R14" t="s">
        <v>17</v>
      </c>
      <c r="S14" s="217">
        <v>65000</v>
      </c>
      <c r="T14" s="217">
        <f>R7</f>
        <v>828</v>
      </c>
      <c r="U14" s="217">
        <f t="shared" ref="U14:U21" si="0">S14*T14</f>
        <v>53820000</v>
      </c>
    </row>
    <row r="15" spans="3:23" ht="22.95" customHeight="1">
      <c r="C15" s="211"/>
      <c r="D15" s="4"/>
      <c r="E15" s="4"/>
      <c r="F15" s="115"/>
      <c r="G15" s="300"/>
      <c r="H15" s="115"/>
      <c r="I15" s="4"/>
      <c r="J15" s="4"/>
      <c r="K15" s="201"/>
      <c r="Q15" s="216" t="s">
        <v>250</v>
      </c>
      <c r="R15" t="s">
        <v>17</v>
      </c>
      <c r="S15" s="217">
        <v>45000</v>
      </c>
      <c r="T15" s="217">
        <f>R8</f>
        <v>630</v>
      </c>
      <c r="U15" s="217">
        <f t="shared" si="0"/>
        <v>28350000</v>
      </c>
    </row>
    <row r="16" spans="3:23" ht="22.95" customHeight="1">
      <c r="C16" s="211"/>
      <c r="D16" s="4"/>
      <c r="E16" s="4"/>
      <c r="F16" s="115"/>
      <c r="G16" s="300"/>
      <c r="H16" s="115"/>
      <c r="I16" s="4"/>
      <c r="J16" s="4"/>
      <c r="K16" s="201"/>
      <c r="Q16" s="216" t="s">
        <v>253</v>
      </c>
      <c r="R16" t="s">
        <v>5</v>
      </c>
      <c r="S16" s="217">
        <v>100000</v>
      </c>
      <c r="T16" s="217">
        <v>42</v>
      </c>
      <c r="U16" s="217">
        <f t="shared" si="0"/>
        <v>4200000</v>
      </c>
    </row>
    <row r="17" spans="3:21" ht="22.95" customHeight="1">
      <c r="C17" s="211"/>
      <c r="D17" s="4"/>
      <c r="E17" s="4"/>
      <c r="F17" s="115"/>
      <c r="G17" s="115"/>
      <c r="H17" s="115"/>
      <c r="I17" s="4"/>
      <c r="J17" s="4"/>
      <c r="K17" s="201"/>
      <c r="Q17" s="216" t="s">
        <v>255</v>
      </c>
      <c r="R17" t="s">
        <v>24</v>
      </c>
      <c r="S17" s="217">
        <v>350000</v>
      </c>
      <c r="T17" s="217">
        <v>20</v>
      </c>
      <c r="U17" s="217">
        <f t="shared" si="0"/>
        <v>7000000</v>
      </c>
    </row>
    <row r="18" spans="3:21" ht="22.95" customHeight="1">
      <c r="C18" s="211"/>
      <c r="D18" s="4"/>
      <c r="E18" s="4"/>
      <c r="F18" s="115"/>
      <c r="G18" s="115"/>
      <c r="H18" s="115"/>
      <c r="I18" s="4"/>
      <c r="J18" s="4"/>
      <c r="K18" s="201"/>
      <c r="Q18" s="216" t="s">
        <v>256</v>
      </c>
      <c r="R18" t="s">
        <v>24</v>
      </c>
      <c r="S18" s="217">
        <v>1000000</v>
      </c>
      <c r="T18" s="217">
        <v>2</v>
      </c>
      <c r="U18" s="217">
        <f t="shared" si="0"/>
        <v>2000000</v>
      </c>
    </row>
    <row r="19" spans="3:21" ht="22.95" customHeight="1">
      <c r="C19" s="211"/>
      <c r="D19" s="4"/>
      <c r="E19" s="4"/>
      <c r="F19" s="115"/>
      <c r="G19" s="115"/>
      <c r="H19" s="115"/>
      <c r="I19" s="4"/>
      <c r="J19" s="4"/>
      <c r="K19" s="201"/>
      <c r="Q19" s="216" t="s">
        <v>261</v>
      </c>
      <c r="R19" t="s">
        <v>17</v>
      </c>
      <c r="S19" s="217">
        <v>120000</v>
      </c>
      <c r="T19" s="217">
        <v>72</v>
      </c>
      <c r="U19" s="217">
        <f t="shared" si="0"/>
        <v>8640000</v>
      </c>
    </row>
    <row r="20" spans="3:21" ht="22.95" customHeight="1">
      <c r="C20" s="211"/>
      <c r="D20" s="212"/>
      <c r="E20" s="115"/>
      <c r="F20" s="115"/>
      <c r="G20" s="115"/>
      <c r="H20" s="115"/>
      <c r="I20" s="115"/>
      <c r="J20" s="213"/>
      <c r="K20" s="201"/>
      <c r="Q20" s="216" t="s">
        <v>243</v>
      </c>
      <c r="R20" t="s">
        <v>17</v>
      </c>
      <c r="S20" s="217">
        <v>80000</v>
      </c>
      <c r="T20" s="217">
        <v>54</v>
      </c>
      <c r="U20" s="217">
        <f t="shared" si="0"/>
        <v>4320000</v>
      </c>
    </row>
    <row r="21" spans="3:21" ht="22.95" customHeight="1">
      <c r="C21" s="211"/>
      <c r="D21" s="214"/>
      <c r="E21" s="115"/>
      <c r="F21" s="115"/>
      <c r="G21" s="115"/>
      <c r="H21" s="115"/>
      <c r="I21" s="115"/>
      <c r="J21" s="215"/>
      <c r="K21" s="201"/>
      <c r="Q21" s="216" t="s">
        <v>258</v>
      </c>
      <c r="R21" t="s">
        <v>24</v>
      </c>
      <c r="S21" s="217">
        <v>500000</v>
      </c>
      <c r="T21" s="217">
        <v>2</v>
      </c>
      <c r="U21" s="217">
        <f t="shared" si="0"/>
        <v>1000000</v>
      </c>
    </row>
    <row r="22" spans="3:21" ht="22.95" customHeight="1">
      <c r="C22" s="211"/>
      <c r="D22" s="4"/>
      <c r="E22" s="4"/>
      <c r="F22" s="115"/>
      <c r="G22" s="115"/>
      <c r="H22" s="115"/>
      <c r="I22" s="4"/>
      <c r="J22" s="4"/>
      <c r="K22" s="201"/>
      <c r="T22" t="s">
        <v>257</v>
      </c>
      <c r="U22" s="218">
        <f>SUM(U12:U21)</f>
        <v>198754000</v>
      </c>
    </row>
    <row r="23" spans="3:21" ht="22.95" customHeight="1">
      <c r="C23" s="211"/>
      <c r="D23" s="4"/>
      <c r="E23" s="4"/>
      <c r="F23" s="115"/>
      <c r="G23" s="115"/>
      <c r="H23" s="115"/>
      <c r="I23" s="4"/>
      <c r="J23" s="4"/>
      <c r="K23" s="201"/>
      <c r="T23" t="s">
        <v>260</v>
      </c>
      <c r="U23" s="218">
        <f>U22/200</f>
        <v>993770</v>
      </c>
    </row>
    <row r="24" spans="3:21" ht="22.95" customHeight="1">
      <c r="C24" s="211"/>
      <c r="D24" s="4"/>
      <c r="E24" s="4"/>
      <c r="F24" s="115"/>
      <c r="G24" s="115"/>
      <c r="H24" s="115"/>
      <c r="I24" s="4"/>
      <c r="J24" s="4"/>
      <c r="K24" s="201"/>
    </row>
    <row r="25" spans="3:21" ht="22.95" customHeight="1">
      <c r="C25" s="211"/>
      <c r="D25" s="4"/>
      <c r="E25" s="4"/>
      <c r="F25" s="115"/>
      <c r="G25" s="115"/>
      <c r="H25" s="115"/>
      <c r="I25" s="4"/>
      <c r="J25" s="4"/>
      <c r="K25" s="201"/>
    </row>
    <row r="26" spans="3:21" ht="22.95" customHeight="1">
      <c r="C26" s="211"/>
      <c r="D26" s="4"/>
      <c r="E26" s="4"/>
      <c r="F26" s="115"/>
      <c r="G26" s="115"/>
      <c r="H26" s="115"/>
      <c r="I26" s="4"/>
      <c r="J26" s="4"/>
      <c r="K26" s="201"/>
    </row>
    <row r="27" spans="3:21" ht="22.95" customHeight="1">
      <c r="C27" s="211"/>
      <c r="D27" s="4"/>
      <c r="E27" s="4"/>
      <c r="F27" s="115"/>
      <c r="G27" s="115"/>
      <c r="H27" s="115"/>
      <c r="I27" s="4"/>
      <c r="J27" s="4"/>
      <c r="K27" s="201"/>
    </row>
    <row r="28" spans="3:21" ht="22.95" customHeight="1">
      <c r="C28" s="211"/>
      <c r="D28" s="4"/>
      <c r="E28" s="4"/>
      <c r="F28" s="115"/>
      <c r="G28" s="115"/>
      <c r="H28" s="115"/>
      <c r="I28" s="4"/>
      <c r="J28" s="4"/>
      <c r="K28" s="201"/>
    </row>
    <row r="29" spans="3:21" ht="22.95" customHeight="1">
      <c r="C29" s="211"/>
      <c r="D29" s="4"/>
      <c r="E29" s="4"/>
      <c r="F29" s="214"/>
      <c r="G29" s="120"/>
      <c r="H29" s="215"/>
      <c r="I29" s="4"/>
      <c r="J29" s="4"/>
      <c r="K29" s="201"/>
    </row>
    <row r="30" spans="3:21" ht="22.95" customHeight="1">
      <c r="C30" s="211"/>
      <c r="D30" s="115"/>
      <c r="E30" s="115"/>
      <c r="F30" s="115"/>
      <c r="G30" s="115"/>
      <c r="H30" s="115"/>
      <c r="I30" s="115"/>
      <c r="J30" s="115"/>
      <c r="K30" s="201"/>
    </row>
    <row r="31" spans="3:21" ht="22.95" customHeight="1">
      <c r="C31" s="211"/>
      <c r="D31" s="212"/>
      <c r="E31" s="116"/>
      <c r="F31" s="116"/>
      <c r="G31" s="116"/>
      <c r="H31" s="116"/>
      <c r="I31" s="116"/>
      <c r="J31" s="213"/>
      <c r="K31" s="201"/>
    </row>
    <row r="32" spans="3:21" ht="22.95" customHeight="1">
      <c r="C32" s="211"/>
      <c r="D32" s="211"/>
      <c r="E32" s="115"/>
      <c r="F32" s="115"/>
      <c r="G32" s="115"/>
      <c r="H32" s="115"/>
      <c r="I32" s="115"/>
      <c r="J32" s="201"/>
      <c r="K32" s="201"/>
    </row>
    <row r="33" spans="3:11" ht="22.95" customHeight="1">
      <c r="C33" s="211"/>
      <c r="D33" s="211"/>
      <c r="E33" s="115"/>
      <c r="F33" s="115"/>
      <c r="G33" s="115"/>
      <c r="H33" s="115"/>
      <c r="I33" s="115"/>
      <c r="J33" s="201"/>
      <c r="K33" s="201"/>
    </row>
    <row r="34" spans="3:11" ht="22.95" customHeight="1">
      <c r="C34" s="211"/>
      <c r="D34" s="211"/>
      <c r="E34" s="115"/>
      <c r="F34" s="115"/>
      <c r="G34" s="115"/>
      <c r="H34" s="115"/>
      <c r="I34" s="115"/>
      <c r="J34" s="201"/>
      <c r="K34" s="201"/>
    </row>
    <row r="35" spans="3:11" ht="22.95" customHeight="1">
      <c r="C35" s="211"/>
      <c r="D35" s="211"/>
      <c r="E35" s="115"/>
      <c r="F35" s="115"/>
      <c r="G35" s="115"/>
      <c r="H35" s="115"/>
      <c r="I35" s="115"/>
      <c r="J35" s="201"/>
      <c r="K35" s="201"/>
    </row>
    <row r="36" spans="3:11" ht="22.95" customHeight="1">
      <c r="C36" s="211"/>
      <c r="D36" s="211"/>
      <c r="G36" s="115"/>
      <c r="H36" s="115"/>
      <c r="I36" s="115"/>
      <c r="J36" s="201"/>
      <c r="K36" s="201"/>
    </row>
    <row r="37" spans="3:11" ht="22.95" customHeight="1">
      <c r="C37" s="211"/>
      <c r="D37" s="211"/>
      <c r="E37" s="115"/>
      <c r="F37" s="115"/>
      <c r="G37" s="115"/>
      <c r="H37" s="115"/>
      <c r="I37" s="115"/>
      <c r="J37" s="201"/>
      <c r="K37" s="201"/>
    </row>
    <row r="38" spans="3:11" ht="22.95" customHeight="1">
      <c r="C38" s="211"/>
      <c r="D38" s="211"/>
      <c r="E38" t="s">
        <v>240</v>
      </c>
      <c r="F38" s="115"/>
      <c r="G38" s="115"/>
      <c r="H38" s="115"/>
      <c r="I38" s="115"/>
      <c r="J38" s="201"/>
      <c r="K38" s="201"/>
    </row>
    <row r="39" spans="3:11" ht="22.95" customHeight="1">
      <c r="C39" s="211"/>
      <c r="D39" s="211"/>
      <c r="E39" t="s">
        <v>239</v>
      </c>
      <c r="F39" s="115"/>
      <c r="G39" s="115"/>
      <c r="H39" s="115"/>
      <c r="I39" s="115"/>
      <c r="J39" s="201"/>
      <c r="K39" s="201"/>
    </row>
    <row r="40" spans="3:11" ht="22.95" customHeight="1">
      <c r="C40" s="211"/>
      <c r="D40" s="214"/>
      <c r="E40" s="120"/>
      <c r="F40" s="120"/>
      <c r="G40" s="120"/>
      <c r="H40" s="120"/>
      <c r="I40" s="120"/>
      <c r="J40" s="215"/>
      <c r="K40" s="201"/>
    </row>
    <row r="41" spans="3:11" ht="22.95" customHeight="1">
      <c r="C41" s="211"/>
      <c r="D41" s="115"/>
      <c r="E41" s="115"/>
      <c r="F41" s="115"/>
      <c r="G41" s="115"/>
      <c r="H41" s="115"/>
      <c r="I41" s="115"/>
      <c r="J41" s="115"/>
      <c r="K41" s="201"/>
    </row>
    <row r="42" spans="3:11" ht="22.95" customHeight="1">
      <c r="C42" s="211"/>
      <c r="D42" s="212" t="s">
        <v>231</v>
      </c>
      <c r="E42" s="116"/>
      <c r="F42" s="116"/>
      <c r="G42" s="213"/>
      <c r="H42" s="212" t="s">
        <v>243</v>
      </c>
      <c r="I42" s="116"/>
      <c r="J42" s="213"/>
      <c r="K42" s="201"/>
    </row>
    <row r="43" spans="3:11" ht="22.95" customHeight="1">
      <c r="C43" s="211"/>
      <c r="D43" s="214"/>
      <c r="E43" s="120"/>
      <c r="F43" s="120"/>
      <c r="G43" s="215"/>
      <c r="H43" s="214"/>
      <c r="I43" s="120"/>
      <c r="J43" s="215"/>
      <c r="K43" s="201"/>
    </row>
    <row r="44" spans="3:11" ht="22.95" customHeight="1">
      <c r="C44" s="211"/>
      <c r="D44" s="115"/>
      <c r="E44" s="115"/>
      <c r="F44" s="115"/>
      <c r="G44" s="115"/>
      <c r="H44" s="115"/>
      <c r="I44" s="115"/>
      <c r="J44" s="115"/>
      <c r="K44" s="201"/>
    </row>
    <row r="45" spans="3:11" ht="22.95" customHeight="1">
      <c r="C45" s="211"/>
      <c r="D45" s="212"/>
      <c r="E45" s="116"/>
      <c r="F45" s="116"/>
      <c r="G45" s="116"/>
      <c r="H45" s="116"/>
      <c r="I45" s="116"/>
      <c r="J45" s="213"/>
      <c r="K45" s="201"/>
    </row>
    <row r="46" spans="3:11" ht="22.95" customHeight="1">
      <c r="C46" s="211"/>
      <c r="D46" s="211"/>
      <c r="E46" t="s">
        <v>232</v>
      </c>
      <c r="F46" s="115"/>
      <c r="G46" s="115"/>
      <c r="H46" s="115"/>
      <c r="I46" s="115"/>
      <c r="J46" s="201"/>
      <c r="K46" s="201"/>
    </row>
    <row r="47" spans="3:11" ht="22.95" customHeight="1">
      <c r="C47" s="211"/>
      <c r="D47" s="214"/>
      <c r="E47" s="120"/>
      <c r="F47" s="120"/>
      <c r="G47" s="120"/>
      <c r="H47" s="120"/>
      <c r="I47" s="120"/>
      <c r="J47" s="215"/>
      <c r="K47" s="201"/>
    </row>
    <row r="48" spans="3:11" ht="22.95" customHeight="1">
      <c r="C48" s="214"/>
      <c r="D48" s="120"/>
      <c r="E48" s="120"/>
      <c r="F48" s="120"/>
      <c r="G48" s="120"/>
      <c r="H48" s="120"/>
      <c r="I48" s="120"/>
      <c r="J48" s="120"/>
      <c r="K48" s="215"/>
    </row>
    <row r="49" ht="22.95" customHeight="1"/>
    <row r="50" ht="22.95" customHeight="1"/>
    <row r="51" ht="22.95" customHeight="1"/>
    <row r="52" ht="22.95" customHeight="1"/>
    <row r="53" ht="22.95" customHeight="1"/>
    <row r="54" ht="22.95" customHeight="1"/>
    <row r="55" ht="22.95" customHeight="1"/>
    <row r="56" ht="22.95" customHeight="1"/>
    <row r="57" ht="22.95" customHeight="1"/>
    <row r="58" ht="22.95" customHeight="1"/>
    <row r="59" ht="22.95" customHeight="1"/>
    <row r="60" ht="22.95" customHeight="1"/>
  </sheetData>
  <mergeCells count="5">
    <mergeCell ref="D1:J1"/>
    <mergeCell ref="C8:C9"/>
    <mergeCell ref="C10:C14"/>
    <mergeCell ref="G5:G16"/>
    <mergeCell ref="D2:E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P43"/>
  <sheetViews>
    <sheetView zoomScale="70" zoomScaleNormal="70" zoomScalePageLayoutView="70" workbookViewId="0">
      <selection activeCell="U19" sqref="U19"/>
    </sheetView>
  </sheetViews>
  <sheetFormatPr baseColWidth="10" defaultRowHeight="15.6"/>
  <cols>
    <col min="1" max="1" width="121.5" bestFit="1" customWidth="1"/>
    <col min="2" max="2" width="8" style="19" customWidth="1"/>
    <col min="3" max="3" width="16.796875" bestFit="1" customWidth="1"/>
    <col min="4" max="4" width="10.5" customWidth="1"/>
    <col min="5" max="5" width="21.796875" bestFit="1" customWidth="1"/>
    <col min="6" max="6" width="16.69921875" bestFit="1" customWidth="1"/>
    <col min="8" max="8" width="31.296875" customWidth="1"/>
    <col min="12" max="12" width="12" bestFit="1" customWidth="1"/>
  </cols>
  <sheetData>
    <row r="1" spans="1:16" ht="21" customHeight="1">
      <c r="A1" s="268" t="s">
        <v>37</v>
      </c>
      <c r="B1" s="269"/>
      <c r="C1" s="269"/>
      <c r="D1" s="270"/>
      <c r="E1" s="268" t="s">
        <v>9</v>
      </c>
      <c r="F1" s="270"/>
      <c r="H1" s="20"/>
      <c r="I1" s="20"/>
      <c r="J1" s="20"/>
      <c r="K1" s="20"/>
      <c r="L1" s="20"/>
      <c r="M1" s="20"/>
      <c r="N1" s="20"/>
      <c r="O1" s="20"/>
      <c r="P1" s="20"/>
    </row>
    <row r="2" spans="1:16" ht="21" customHeight="1">
      <c r="A2" s="18" t="s">
        <v>2</v>
      </c>
      <c r="B2" s="18" t="s">
        <v>3</v>
      </c>
      <c r="C2" s="18" t="s">
        <v>4</v>
      </c>
      <c r="D2" s="18" t="s">
        <v>0</v>
      </c>
      <c r="E2" s="18" t="s">
        <v>10</v>
      </c>
      <c r="F2" s="18" t="s">
        <v>8</v>
      </c>
      <c r="H2" s="20"/>
      <c r="I2" s="20"/>
      <c r="J2" s="20"/>
      <c r="K2" s="20"/>
      <c r="L2" s="20"/>
      <c r="M2" s="20"/>
      <c r="N2" s="20"/>
      <c r="O2" s="20"/>
      <c r="P2" s="20"/>
    </row>
    <row r="3" spans="1:16" ht="21" customHeight="1">
      <c r="A3" s="309" t="s">
        <v>11</v>
      </c>
      <c r="B3" s="310"/>
      <c r="C3" s="310"/>
      <c r="D3" s="310"/>
      <c r="E3" s="310"/>
      <c r="F3" s="311"/>
      <c r="H3" s="13"/>
      <c r="I3" s="13"/>
      <c r="J3" s="13"/>
      <c r="K3" s="13"/>
      <c r="L3" s="13"/>
      <c r="M3" s="13"/>
      <c r="N3" s="20"/>
      <c r="O3" s="20"/>
      <c r="P3" s="20"/>
    </row>
    <row r="4" spans="1:16" ht="21" customHeight="1">
      <c r="A4" s="8" t="s">
        <v>14</v>
      </c>
      <c r="B4" s="11"/>
      <c r="C4" s="2"/>
      <c r="D4" s="2"/>
      <c r="E4" s="2"/>
      <c r="F4" s="2"/>
      <c r="H4" s="13"/>
      <c r="I4" s="13"/>
      <c r="J4" s="13"/>
      <c r="K4" s="13"/>
      <c r="L4" s="13"/>
      <c r="M4" s="13"/>
      <c r="N4" s="20"/>
      <c r="O4" s="20"/>
      <c r="P4" s="20"/>
    </row>
    <row r="5" spans="1:16" ht="21" customHeight="1">
      <c r="A5" s="9" t="s">
        <v>45</v>
      </c>
      <c r="B5" s="11" t="s">
        <v>5</v>
      </c>
      <c r="C5" s="7">
        <v>141000</v>
      </c>
      <c r="D5" s="7">
        <v>1050</v>
      </c>
      <c r="E5" s="7">
        <f>C5*D5</f>
        <v>148050000</v>
      </c>
      <c r="F5" s="7">
        <f>E5/200</f>
        <v>740250</v>
      </c>
      <c r="H5" s="21"/>
      <c r="I5" s="22"/>
      <c r="J5" s="23"/>
      <c r="K5" s="23"/>
      <c r="L5" s="24"/>
      <c r="M5" s="24"/>
      <c r="N5" s="20"/>
      <c r="O5" s="20"/>
      <c r="P5" s="20"/>
    </row>
    <row r="6" spans="1:16" ht="21" customHeight="1">
      <c r="A6" s="8" t="s">
        <v>15</v>
      </c>
      <c r="B6" s="11"/>
      <c r="C6" s="7"/>
      <c r="D6" s="7"/>
      <c r="E6" s="7"/>
      <c r="F6" s="7"/>
      <c r="H6" s="21"/>
      <c r="I6" s="22"/>
      <c r="J6" s="23"/>
      <c r="K6" s="23"/>
      <c r="L6" s="24"/>
      <c r="M6" s="24"/>
      <c r="N6" s="20"/>
      <c r="O6" s="20"/>
      <c r="P6" s="20"/>
    </row>
    <row r="7" spans="1:16" ht="21" customHeight="1">
      <c r="A7" s="9" t="s">
        <v>45</v>
      </c>
      <c r="B7" s="11" t="s">
        <v>5</v>
      </c>
      <c r="C7" s="7">
        <f>C5</f>
        <v>141000</v>
      </c>
      <c r="D7" s="7">
        <v>1050</v>
      </c>
      <c r="E7" s="7">
        <f>C7*D7</f>
        <v>148050000</v>
      </c>
      <c r="F7" s="7">
        <f>E7/200</f>
        <v>740250</v>
      </c>
      <c r="H7" s="21"/>
      <c r="I7" s="22"/>
      <c r="J7" s="23"/>
      <c r="K7" s="23"/>
      <c r="L7" s="24"/>
      <c r="M7" s="24"/>
      <c r="N7" s="20"/>
      <c r="O7" s="20"/>
      <c r="P7" s="20"/>
    </row>
    <row r="8" spans="1:16" ht="21" customHeight="1">
      <c r="A8" s="8" t="s">
        <v>16</v>
      </c>
      <c r="B8" s="11"/>
      <c r="C8" s="7"/>
      <c r="D8" s="7"/>
      <c r="E8" s="7"/>
      <c r="F8" s="7"/>
      <c r="H8" s="21"/>
      <c r="I8" s="22"/>
      <c r="J8" s="23"/>
      <c r="K8" s="23"/>
      <c r="L8" s="24"/>
      <c r="M8" s="24"/>
      <c r="N8" s="20"/>
      <c r="O8" s="20"/>
      <c r="P8" s="20"/>
    </row>
    <row r="9" spans="1:16" ht="21" customHeight="1">
      <c r="A9" s="9" t="s">
        <v>45</v>
      </c>
      <c r="B9" s="11" t="s">
        <v>5</v>
      </c>
      <c r="C9" s="7">
        <f>C5</f>
        <v>141000</v>
      </c>
      <c r="D9" s="7">
        <v>880</v>
      </c>
      <c r="E9" s="7">
        <f>C9*D9</f>
        <v>124080000</v>
      </c>
      <c r="F9" s="7">
        <f>E9/200</f>
        <v>620400</v>
      </c>
      <c r="H9" s="13"/>
      <c r="I9" s="13"/>
      <c r="J9" s="13"/>
      <c r="K9" s="13"/>
      <c r="L9" s="13"/>
      <c r="M9" s="13"/>
      <c r="N9" s="20"/>
      <c r="O9" s="20"/>
      <c r="P9" s="20"/>
    </row>
    <row r="10" spans="1:16" ht="21" customHeight="1">
      <c r="A10" s="8" t="s">
        <v>44</v>
      </c>
      <c r="B10" s="11"/>
      <c r="C10" s="7"/>
      <c r="D10" s="7"/>
      <c r="E10" s="7"/>
      <c r="F10" s="7"/>
      <c r="H10" s="13"/>
      <c r="I10" s="13"/>
      <c r="J10" s="13"/>
      <c r="K10" s="13"/>
      <c r="L10" s="13"/>
      <c r="M10" s="13"/>
      <c r="N10" s="20"/>
      <c r="O10" s="20"/>
      <c r="P10" s="20"/>
    </row>
    <row r="11" spans="1:16" ht="21" customHeight="1">
      <c r="A11" s="9" t="s">
        <v>45</v>
      </c>
      <c r="B11" s="11" t="s">
        <v>5</v>
      </c>
      <c r="C11" s="7">
        <v>141000</v>
      </c>
      <c r="D11" s="7">
        <v>590</v>
      </c>
      <c r="E11" s="7">
        <f>C11*D11</f>
        <v>83190000</v>
      </c>
      <c r="F11" s="7">
        <f>E11/200</f>
        <v>415950</v>
      </c>
      <c r="H11" s="13"/>
      <c r="I11" s="13"/>
      <c r="J11" s="13"/>
      <c r="K11" s="13"/>
      <c r="L11" s="13"/>
      <c r="M11" s="13"/>
      <c r="N11" s="20"/>
      <c r="O11" s="20"/>
      <c r="P11" s="20"/>
    </row>
    <row r="12" spans="1:16" ht="21" customHeight="1">
      <c r="A12" s="309" t="s">
        <v>12</v>
      </c>
      <c r="B12" s="310"/>
      <c r="C12" s="310"/>
      <c r="D12" s="310"/>
      <c r="E12" s="310"/>
      <c r="F12" s="311"/>
      <c r="H12" s="13"/>
      <c r="I12" s="13"/>
      <c r="J12" s="13"/>
      <c r="K12" s="13"/>
      <c r="L12" s="13"/>
      <c r="M12" s="13"/>
      <c r="N12" s="20"/>
      <c r="O12" s="20"/>
      <c r="P12" s="20"/>
    </row>
    <row r="13" spans="1:16" ht="21" customHeight="1">
      <c r="A13" s="8" t="s">
        <v>46</v>
      </c>
      <c r="B13" s="16"/>
      <c r="C13" s="7"/>
      <c r="D13" s="7"/>
      <c r="E13" s="7"/>
      <c r="F13" s="7"/>
      <c r="H13" s="13"/>
      <c r="I13" s="13"/>
      <c r="J13" s="13"/>
      <c r="K13" s="13"/>
      <c r="L13" s="13"/>
      <c r="M13" s="13"/>
      <c r="N13" s="20"/>
      <c r="O13" s="20"/>
      <c r="P13" s="20"/>
    </row>
    <row r="14" spans="1:16" ht="21" customHeight="1">
      <c r="A14" s="9" t="s">
        <v>49</v>
      </c>
      <c r="B14" s="11" t="s">
        <v>5</v>
      </c>
      <c r="C14" s="7">
        <v>113000</v>
      </c>
      <c r="D14" s="7">
        <v>540</v>
      </c>
      <c r="E14" s="7">
        <f>C14*D14</f>
        <v>61020000</v>
      </c>
      <c r="F14" s="7">
        <f>E14/200</f>
        <v>305100</v>
      </c>
      <c r="H14" s="13"/>
      <c r="I14" s="13"/>
      <c r="J14" s="13"/>
      <c r="K14" s="13"/>
      <c r="L14" s="13"/>
      <c r="M14" s="13"/>
      <c r="N14" s="20"/>
      <c r="O14" s="20"/>
      <c r="P14" s="20"/>
    </row>
    <row r="15" spans="1:16" ht="21" customHeight="1">
      <c r="A15" s="8" t="s">
        <v>47</v>
      </c>
      <c r="B15" s="16"/>
      <c r="C15" s="7"/>
      <c r="D15" s="7"/>
      <c r="E15" s="7"/>
      <c r="F15" s="7"/>
      <c r="H15" s="13"/>
      <c r="I15" s="22"/>
      <c r="J15" s="23"/>
      <c r="K15" s="23"/>
      <c r="L15" s="24"/>
      <c r="M15" s="24"/>
      <c r="N15" s="20"/>
      <c r="O15" s="20"/>
      <c r="P15" s="20"/>
    </row>
    <row r="16" spans="1:16" ht="21" customHeight="1">
      <c r="A16" s="9" t="s">
        <v>49</v>
      </c>
      <c r="B16" s="11" t="s">
        <v>5</v>
      </c>
      <c r="C16" s="7">
        <f>C14</f>
        <v>113000</v>
      </c>
      <c r="D16" s="7">
        <v>290</v>
      </c>
      <c r="E16" s="7">
        <f>C16*D16</f>
        <v>32770000</v>
      </c>
      <c r="F16" s="7">
        <f>E16/200</f>
        <v>163850</v>
      </c>
      <c r="H16" s="13"/>
      <c r="I16" s="22"/>
      <c r="J16" s="23"/>
      <c r="K16" s="23"/>
      <c r="L16" s="24"/>
      <c r="M16" s="24"/>
      <c r="N16" s="20"/>
      <c r="O16" s="20"/>
      <c r="P16" s="20"/>
    </row>
    <row r="17" spans="1:16" ht="21" customHeight="1">
      <c r="A17" s="8" t="s">
        <v>48</v>
      </c>
      <c r="B17" s="16"/>
      <c r="C17" s="7"/>
      <c r="D17" s="7"/>
      <c r="E17" s="7"/>
      <c r="F17" s="7"/>
      <c r="H17" s="13"/>
      <c r="I17" s="22"/>
      <c r="J17" s="23"/>
      <c r="K17" s="23"/>
      <c r="L17" s="24"/>
      <c r="M17" s="24"/>
      <c r="N17" s="20"/>
      <c r="O17" s="20"/>
      <c r="P17" s="20"/>
    </row>
    <row r="18" spans="1:16" ht="21" customHeight="1">
      <c r="A18" s="9" t="s">
        <v>49</v>
      </c>
      <c r="B18" s="11" t="s">
        <v>5</v>
      </c>
      <c r="C18" s="7">
        <v>120000</v>
      </c>
      <c r="D18" s="7">
        <v>810</v>
      </c>
      <c r="E18" s="7">
        <f>C18*D18</f>
        <v>97200000</v>
      </c>
      <c r="F18" s="7">
        <f>E18/200</f>
        <v>486000</v>
      </c>
      <c r="H18" s="20"/>
      <c r="I18" s="20"/>
      <c r="J18" s="20"/>
      <c r="K18" s="20"/>
      <c r="L18" s="20"/>
      <c r="M18" s="20"/>
      <c r="N18" s="20"/>
      <c r="O18" s="20"/>
      <c r="P18" s="20"/>
    </row>
    <row r="19" spans="1:16" ht="21" customHeight="1">
      <c r="A19" s="309" t="s">
        <v>50</v>
      </c>
      <c r="B19" s="310"/>
      <c r="C19" s="310"/>
      <c r="D19" s="310"/>
      <c r="E19" s="310"/>
      <c r="F19" s="311"/>
      <c r="H19" s="20"/>
      <c r="I19" s="20"/>
      <c r="J19" s="20"/>
      <c r="K19" s="20"/>
      <c r="L19" s="20"/>
      <c r="M19" s="20"/>
      <c r="N19" s="20"/>
      <c r="O19" s="20"/>
      <c r="P19" s="20"/>
    </row>
    <row r="20" spans="1:16" ht="21" customHeight="1">
      <c r="A20" s="8" t="s">
        <v>51</v>
      </c>
      <c r="B20" s="15"/>
      <c r="C20" s="4"/>
      <c r="D20" s="4"/>
      <c r="E20" s="4"/>
      <c r="F20" s="4"/>
      <c r="H20" s="20"/>
      <c r="I20" s="20"/>
      <c r="J20" s="20"/>
      <c r="K20" s="20"/>
      <c r="L20" s="20"/>
      <c r="M20" s="20"/>
      <c r="N20" s="20"/>
      <c r="O20" s="20"/>
      <c r="P20" s="20"/>
    </row>
    <row r="21" spans="1:16" ht="21" customHeight="1">
      <c r="A21" s="9" t="s">
        <v>56</v>
      </c>
      <c r="B21" s="11" t="s">
        <v>1</v>
      </c>
      <c r="C21" s="7">
        <v>105000</v>
      </c>
      <c r="D21" s="7">
        <v>440</v>
      </c>
      <c r="E21" s="7">
        <f>C21*D21</f>
        <v>46200000</v>
      </c>
      <c r="F21" s="7">
        <f>E21/200</f>
        <v>231000</v>
      </c>
      <c r="H21" s="20"/>
      <c r="I21" s="20"/>
      <c r="J21" s="20"/>
      <c r="K21" s="20"/>
      <c r="L21" s="20"/>
      <c r="M21" s="20"/>
      <c r="N21" s="20"/>
      <c r="O21" s="20"/>
      <c r="P21" s="20"/>
    </row>
    <row r="22" spans="1:16" ht="21" customHeight="1">
      <c r="A22" s="9" t="s">
        <v>52</v>
      </c>
      <c r="B22" s="11" t="s">
        <v>24</v>
      </c>
      <c r="C22" s="7">
        <v>15000000</v>
      </c>
      <c r="D22" s="7">
        <v>1</v>
      </c>
      <c r="E22" s="7">
        <f>C22*D22</f>
        <v>15000000</v>
      </c>
      <c r="F22" s="7">
        <f>E22/200</f>
        <v>75000</v>
      </c>
      <c r="H22" s="20"/>
      <c r="I22" s="20"/>
      <c r="J22" s="20"/>
      <c r="K22" s="20"/>
      <c r="L22" s="20"/>
      <c r="M22" s="20"/>
      <c r="N22" s="20"/>
      <c r="O22" s="20"/>
      <c r="P22" s="20"/>
    </row>
    <row r="23" spans="1:16" ht="21" customHeight="1">
      <c r="A23" s="8" t="s">
        <v>55</v>
      </c>
      <c r="B23" s="15"/>
      <c r="C23" s="4"/>
      <c r="D23" s="4"/>
      <c r="E23" s="4"/>
      <c r="F23" s="4"/>
      <c r="H23" s="20"/>
      <c r="I23" s="20"/>
      <c r="J23" s="20"/>
      <c r="K23" s="20"/>
      <c r="L23" s="20"/>
      <c r="M23" s="20"/>
      <c r="N23" s="20"/>
      <c r="O23" s="20"/>
      <c r="P23" s="20"/>
    </row>
    <row r="24" spans="1:16" ht="21" customHeight="1">
      <c r="A24" s="9" t="s">
        <v>56</v>
      </c>
      <c r="B24" s="11" t="s">
        <v>5</v>
      </c>
      <c r="C24" s="7">
        <v>105000</v>
      </c>
      <c r="D24" s="7">
        <v>1000</v>
      </c>
      <c r="E24" s="7">
        <f>C24*D24</f>
        <v>105000000</v>
      </c>
      <c r="F24" s="7">
        <f>E24/200</f>
        <v>525000</v>
      </c>
      <c r="H24" s="20"/>
      <c r="I24" s="20"/>
      <c r="J24" s="20"/>
      <c r="K24" s="20"/>
      <c r="L24" s="20"/>
      <c r="M24" s="20"/>
      <c r="N24" s="20"/>
      <c r="O24" s="20"/>
      <c r="P24" s="20"/>
    </row>
    <row r="25" spans="1:16" ht="21" customHeight="1">
      <c r="A25" s="8" t="s">
        <v>54</v>
      </c>
      <c r="B25" s="15"/>
      <c r="C25" s="4"/>
      <c r="D25" s="4"/>
      <c r="E25" s="4"/>
      <c r="F25" s="4"/>
      <c r="H25" s="20"/>
      <c r="I25" s="20"/>
      <c r="J25" s="20"/>
      <c r="K25" s="20"/>
      <c r="L25" s="20"/>
      <c r="M25" s="20"/>
      <c r="N25" s="20"/>
      <c r="O25" s="20"/>
      <c r="P25" s="20"/>
    </row>
    <row r="26" spans="1:16" ht="21" customHeight="1">
      <c r="A26" s="9" t="s">
        <v>56</v>
      </c>
      <c r="B26" s="11" t="s">
        <v>1</v>
      </c>
      <c r="C26" s="7">
        <v>105000</v>
      </c>
      <c r="D26" s="7">
        <v>280</v>
      </c>
      <c r="E26" s="7">
        <f>C26*D26</f>
        <v>29400000</v>
      </c>
      <c r="F26" s="7">
        <f>E26/200</f>
        <v>147000</v>
      </c>
      <c r="H26" s="20"/>
      <c r="I26" s="20"/>
      <c r="J26" s="20"/>
      <c r="K26" s="20"/>
      <c r="L26" s="20"/>
      <c r="M26" s="20"/>
      <c r="N26" s="20"/>
      <c r="O26" s="20"/>
      <c r="P26" s="20"/>
    </row>
    <row r="27" spans="1:16" ht="21" customHeight="1">
      <c r="A27" s="8" t="s">
        <v>53</v>
      </c>
      <c r="B27" s="15"/>
      <c r="C27" s="4"/>
      <c r="D27" s="4"/>
      <c r="E27" s="4"/>
      <c r="F27" s="4"/>
    </row>
    <row r="28" spans="1:16" ht="21" customHeight="1">
      <c r="A28" s="9" t="s">
        <v>57</v>
      </c>
      <c r="B28" s="11" t="s">
        <v>24</v>
      </c>
      <c r="C28" s="7">
        <v>15000000</v>
      </c>
      <c r="D28" s="7">
        <v>1</v>
      </c>
      <c r="E28" s="7">
        <f>C28*D28</f>
        <v>15000000</v>
      </c>
      <c r="F28" s="7">
        <f>E28/200</f>
        <v>75000</v>
      </c>
    </row>
    <row r="29" spans="1:16" ht="21" customHeight="1">
      <c r="A29" s="303" t="s">
        <v>39</v>
      </c>
      <c r="B29" s="304"/>
      <c r="C29" s="304"/>
      <c r="D29" s="305"/>
      <c r="E29" s="6">
        <f>SUM(E4:E11,E13:E18,E20:E28)</f>
        <v>904960000</v>
      </c>
      <c r="F29" s="6">
        <f>SUM(F4:F11,F13:F18,F20:F28)</f>
        <v>4524800</v>
      </c>
    </row>
    <row r="30" spans="1:16" ht="21" customHeight="1">
      <c r="A30" s="306" t="s">
        <v>7</v>
      </c>
      <c r="B30" s="307"/>
      <c r="C30" s="307"/>
      <c r="D30" s="308"/>
      <c r="E30" s="5">
        <f>E29*10%</f>
        <v>90496000</v>
      </c>
      <c r="F30" s="5">
        <f>F29*10%</f>
        <v>452480</v>
      </c>
    </row>
    <row r="31" spans="1:16" ht="21" customHeight="1">
      <c r="A31" s="306" t="s">
        <v>13</v>
      </c>
      <c r="B31" s="307"/>
      <c r="C31" s="307"/>
      <c r="D31" s="308"/>
      <c r="E31" s="5">
        <f>E29*15%</f>
        <v>135744000</v>
      </c>
      <c r="F31" s="5">
        <f>F29*15%</f>
        <v>678720</v>
      </c>
    </row>
    <row r="32" spans="1:16" ht="21" customHeight="1">
      <c r="A32" s="303" t="s">
        <v>38</v>
      </c>
      <c r="B32" s="304"/>
      <c r="C32" s="304"/>
      <c r="D32" s="305"/>
      <c r="E32" s="6">
        <f>E29+E30+E31</f>
        <v>1131200000</v>
      </c>
      <c r="F32" s="6">
        <f>F29+F30+F31</f>
        <v>5656000</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9">
    <mergeCell ref="A32:D32"/>
    <mergeCell ref="A31:D31"/>
    <mergeCell ref="A30:D30"/>
    <mergeCell ref="A29:D29"/>
    <mergeCell ref="E1:F1"/>
    <mergeCell ref="A1:D1"/>
    <mergeCell ref="A3:F3"/>
    <mergeCell ref="A12:F12"/>
    <mergeCell ref="A19:F19"/>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G47"/>
  <sheetViews>
    <sheetView topLeftCell="A15" zoomScale="70" zoomScaleNormal="70" zoomScalePageLayoutView="70" workbookViewId="0">
      <selection activeCell="A5" sqref="A5:E5"/>
    </sheetView>
  </sheetViews>
  <sheetFormatPr baseColWidth="10" defaultRowHeight="15.6"/>
  <cols>
    <col min="1" max="1" width="79.5" bestFit="1" customWidth="1"/>
    <col min="2" max="2" width="7.796875" style="17" customWidth="1"/>
    <col min="3" max="3" width="14.69921875" bestFit="1" customWidth="1"/>
    <col min="4" max="4" width="9.5" bestFit="1" customWidth="1"/>
    <col min="5" max="5" width="21.296875" bestFit="1" customWidth="1"/>
    <col min="6" max="6" width="17.5" customWidth="1"/>
  </cols>
  <sheetData>
    <row r="1" spans="1:7">
      <c r="A1" s="268" t="s">
        <v>94</v>
      </c>
      <c r="B1" s="269"/>
      <c r="C1" s="269"/>
      <c r="D1" s="270"/>
      <c r="E1" s="268" t="s">
        <v>9</v>
      </c>
      <c r="F1" s="270"/>
    </row>
    <row r="2" spans="1:7" ht="47.25" customHeight="1">
      <c r="A2" s="18" t="s">
        <v>2</v>
      </c>
      <c r="B2" s="18" t="s">
        <v>3</v>
      </c>
      <c r="C2" s="18" t="s">
        <v>4</v>
      </c>
      <c r="D2" s="18" t="s">
        <v>0</v>
      </c>
      <c r="E2" s="18" t="s">
        <v>10</v>
      </c>
      <c r="F2" s="18" t="s">
        <v>8</v>
      </c>
    </row>
    <row r="3" spans="1:7">
      <c r="A3" s="312" t="s">
        <v>25</v>
      </c>
      <c r="B3" s="313"/>
      <c r="C3" s="313"/>
      <c r="D3" s="313"/>
      <c r="E3" s="313"/>
      <c r="F3" s="314"/>
      <c r="G3" s="8"/>
    </row>
    <row r="4" spans="1:7">
      <c r="A4" s="3" t="s">
        <v>42</v>
      </c>
      <c r="B4" s="14" t="s">
        <v>17</v>
      </c>
      <c r="C4" s="14">
        <v>2000</v>
      </c>
      <c r="D4" s="14">
        <v>3000</v>
      </c>
      <c r="E4" s="5">
        <f>C4*D4</f>
        <v>6000000</v>
      </c>
      <c r="F4" s="5">
        <f>E4/200</f>
        <v>30000</v>
      </c>
    </row>
    <row r="5" spans="1:7">
      <c r="A5" s="3" t="s">
        <v>58</v>
      </c>
      <c r="B5" s="14" t="s">
        <v>17</v>
      </c>
      <c r="C5" s="14">
        <v>4000</v>
      </c>
      <c r="D5" s="14">
        <v>3400</v>
      </c>
      <c r="E5" s="5">
        <f>C5*D5</f>
        <v>13600000</v>
      </c>
      <c r="F5" s="5">
        <f>E5/200</f>
        <v>68000</v>
      </c>
    </row>
    <row r="6" spans="1:7">
      <c r="A6" s="3" t="s">
        <v>18</v>
      </c>
      <c r="B6" s="14" t="s">
        <v>17</v>
      </c>
      <c r="C6" s="14">
        <v>5000</v>
      </c>
      <c r="D6" s="14">
        <v>3000</v>
      </c>
      <c r="E6" s="5">
        <f t="shared" ref="E6:E15" si="0">C6*D6</f>
        <v>15000000</v>
      </c>
      <c r="F6" s="5">
        <f>E6/200</f>
        <v>75000</v>
      </c>
    </row>
    <row r="7" spans="1:7">
      <c r="A7" s="8" t="s">
        <v>41</v>
      </c>
      <c r="B7" s="11"/>
      <c r="C7" s="10"/>
      <c r="D7" s="10"/>
      <c r="E7" s="5"/>
      <c r="F7" s="5"/>
    </row>
    <row r="8" spans="1:7">
      <c r="A8" s="9" t="s">
        <v>19</v>
      </c>
      <c r="B8" s="11" t="s">
        <v>5</v>
      </c>
      <c r="C8" s="14">
        <v>210000</v>
      </c>
      <c r="D8" s="14">
        <v>170</v>
      </c>
      <c r="E8" s="5">
        <f t="shared" si="0"/>
        <v>35700000</v>
      </c>
      <c r="F8" s="5">
        <f>E8/200</f>
        <v>178500</v>
      </c>
    </row>
    <row r="9" spans="1:7">
      <c r="A9" s="9" t="s">
        <v>43</v>
      </c>
      <c r="B9" s="11" t="s">
        <v>17</v>
      </c>
      <c r="C9" s="14">
        <v>15000</v>
      </c>
      <c r="D9" s="14">
        <v>1000</v>
      </c>
      <c r="E9" s="5">
        <f t="shared" si="0"/>
        <v>15000000</v>
      </c>
      <c r="F9" s="5">
        <f>E9/200</f>
        <v>75000</v>
      </c>
    </row>
    <row r="10" spans="1:7">
      <c r="A10" s="9" t="s">
        <v>6</v>
      </c>
      <c r="B10" s="11" t="s">
        <v>5</v>
      </c>
      <c r="C10" s="14">
        <v>21000</v>
      </c>
      <c r="D10" s="14">
        <v>200</v>
      </c>
      <c r="E10" s="5">
        <f t="shared" si="0"/>
        <v>4200000</v>
      </c>
      <c r="F10" s="5">
        <f>E10/200</f>
        <v>21000</v>
      </c>
    </row>
    <row r="11" spans="1:7">
      <c r="A11" s="8" t="s">
        <v>26</v>
      </c>
      <c r="B11" s="11"/>
      <c r="C11" s="10"/>
      <c r="D11" s="10"/>
      <c r="E11" s="5"/>
      <c r="F11" s="5"/>
    </row>
    <row r="12" spans="1:7">
      <c r="A12" s="9" t="s">
        <v>20</v>
      </c>
      <c r="B12" s="11" t="s">
        <v>17</v>
      </c>
      <c r="C12" s="14">
        <v>25000</v>
      </c>
      <c r="D12" s="14">
        <v>700</v>
      </c>
      <c r="E12" s="5">
        <f t="shared" si="0"/>
        <v>17500000</v>
      </c>
      <c r="F12" s="5">
        <f>E12/200</f>
        <v>87500</v>
      </c>
    </row>
    <row r="13" spans="1:7">
      <c r="A13" s="9" t="s">
        <v>21</v>
      </c>
      <c r="B13" s="11" t="s">
        <v>17</v>
      </c>
      <c r="C13" s="14">
        <v>45000</v>
      </c>
      <c r="D13" s="14">
        <v>1300</v>
      </c>
      <c r="E13" s="5">
        <f t="shared" si="0"/>
        <v>58500000</v>
      </c>
      <c r="F13" s="5">
        <f>E13/200</f>
        <v>292500</v>
      </c>
    </row>
    <row r="14" spans="1:7">
      <c r="A14" s="3" t="s">
        <v>22</v>
      </c>
      <c r="B14" s="11" t="s">
        <v>17</v>
      </c>
      <c r="C14" s="11">
        <v>65000</v>
      </c>
      <c r="D14" s="11">
        <v>1000</v>
      </c>
      <c r="E14" s="5">
        <f t="shared" si="0"/>
        <v>65000000</v>
      </c>
      <c r="F14" s="5">
        <f>E14/200</f>
        <v>325000</v>
      </c>
    </row>
    <row r="15" spans="1:7">
      <c r="A15" s="3" t="s">
        <v>23</v>
      </c>
      <c r="B15" s="11" t="s">
        <v>24</v>
      </c>
      <c r="C15" s="11">
        <v>4000000</v>
      </c>
      <c r="D15" s="11">
        <v>1</v>
      </c>
      <c r="E15" s="5">
        <f t="shared" si="0"/>
        <v>4000000</v>
      </c>
      <c r="F15" s="5">
        <f>E15/200</f>
        <v>20000</v>
      </c>
    </row>
    <row r="16" spans="1:7">
      <c r="A16" s="315" t="s">
        <v>29</v>
      </c>
      <c r="B16" s="316"/>
      <c r="C16" s="316"/>
      <c r="D16" s="317"/>
      <c r="E16" s="6">
        <f>SUM(E12:E15,E8:E10,E4:E6)</f>
        <v>234500000</v>
      </c>
      <c r="F16" s="6">
        <f>E16/200</f>
        <v>1172500</v>
      </c>
    </row>
    <row r="17" spans="1:6">
      <c r="A17" s="312" t="s">
        <v>27</v>
      </c>
      <c r="B17" s="313"/>
      <c r="C17" s="313"/>
      <c r="D17" s="313"/>
      <c r="E17" s="313"/>
      <c r="F17" s="314"/>
    </row>
    <row r="18" spans="1:6">
      <c r="A18" s="3" t="s">
        <v>102</v>
      </c>
      <c r="B18" s="11" t="s">
        <v>5</v>
      </c>
      <c r="C18" s="14">
        <v>60000</v>
      </c>
      <c r="D18" s="14">
        <v>1290</v>
      </c>
      <c r="E18" s="5">
        <f t="shared" ref="E18:E25" si="1">C18*D18</f>
        <v>77400000</v>
      </c>
      <c r="F18" s="5">
        <f t="shared" ref="F18:F26" si="2">E18/200</f>
        <v>387000</v>
      </c>
    </row>
    <row r="19" spans="1:6" ht="30">
      <c r="A19" s="3" t="s">
        <v>103</v>
      </c>
      <c r="B19" s="11" t="s">
        <v>5</v>
      </c>
      <c r="C19" s="14">
        <v>60000</v>
      </c>
      <c r="D19" s="14">
        <v>420</v>
      </c>
      <c r="E19" s="5">
        <f t="shared" si="1"/>
        <v>25200000</v>
      </c>
      <c r="F19" s="5">
        <f t="shared" si="2"/>
        <v>126000</v>
      </c>
    </row>
    <row r="20" spans="1:6">
      <c r="A20" s="3" t="s">
        <v>72</v>
      </c>
      <c r="B20" s="11" t="s">
        <v>17</v>
      </c>
      <c r="C20" s="14">
        <f>C12</f>
        <v>25000</v>
      </c>
      <c r="D20" s="14">
        <v>14600</v>
      </c>
      <c r="E20" s="5">
        <f t="shared" si="1"/>
        <v>365000000</v>
      </c>
      <c r="F20" s="5">
        <f t="shared" si="2"/>
        <v>1825000</v>
      </c>
    </row>
    <row r="21" spans="1:6">
      <c r="A21" s="3" t="s">
        <v>75</v>
      </c>
      <c r="B21" s="11" t="s">
        <v>17</v>
      </c>
      <c r="C21" s="11">
        <v>65000</v>
      </c>
      <c r="D21" s="11">
        <f>D20*0.4</f>
        <v>5840</v>
      </c>
      <c r="E21" s="5">
        <f t="shared" si="1"/>
        <v>379600000</v>
      </c>
      <c r="F21" s="5">
        <f t="shared" si="2"/>
        <v>1898000</v>
      </c>
    </row>
    <row r="22" spans="1:6">
      <c r="A22" s="9" t="s">
        <v>74</v>
      </c>
      <c r="B22" s="11" t="s">
        <v>17</v>
      </c>
      <c r="C22" s="14">
        <v>45000</v>
      </c>
      <c r="D22" s="14">
        <f>D20*0.2</f>
        <v>2920</v>
      </c>
      <c r="E22" s="5">
        <f t="shared" si="1"/>
        <v>131400000</v>
      </c>
      <c r="F22" s="5">
        <f t="shared" si="2"/>
        <v>657000</v>
      </c>
    </row>
    <row r="23" spans="1:6">
      <c r="A23" s="9" t="s">
        <v>76</v>
      </c>
      <c r="B23" s="11" t="s">
        <v>17</v>
      </c>
      <c r="C23" s="14">
        <v>25000</v>
      </c>
      <c r="D23" s="14">
        <f>D20*0.4</f>
        <v>5840</v>
      </c>
      <c r="E23" s="5">
        <f t="shared" si="1"/>
        <v>146000000</v>
      </c>
      <c r="F23" s="5">
        <f t="shared" si="2"/>
        <v>730000</v>
      </c>
    </row>
    <row r="24" spans="1:6">
      <c r="A24" s="3" t="s">
        <v>67</v>
      </c>
      <c r="B24" s="11" t="s">
        <v>24</v>
      </c>
      <c r="C24" s="11">
        <v>750000</v>
      </c>
      <c r="D24" s="11">
        <v>12</v>
      </c>
      <c r="E24" s="5">
        <f t="shared" si="1"/>
        <v>9000000</v>
      </c>
      <c r="F24" s="5">
        <f t="shared" si="2"/>
        <v>45000</v>
      </c>
    </row>
    <row r="25" spans="1:6">
      <c r="A25" s="3" t="s">
        <v>73</v>
      </c>
      <c r="B25" s="11" t="s">
        <v>24</v>
      </c>
      <c r="C25" s="11">
        <v>2000000</v>
      </c>
      <c r="D25" s="11">
        <v>4</v>
      </c>
      <c r="E25" s="5">
        <f t="shared" si="1"/>
        <v>8000000</v>
      </c>
      <c r="F25" s="5">
        <f t="shared" si="2"/>
        <v>40000</v>
      </c>
    </row>
    <row r="26" spans="1:6">
      <c r="A26" s="315" t="s">
        <v>30</v>
      </c>
      <c r="B26" s="316"/>
      <c r="C26" s="316"/>
      <c r="D26" s="317"/>
      <c r="E26" s="6">
        <f>SUM(E20:E25)</f>
        <v>1039000000</v>
      </c>
      <c r="F26" s="6">
        <f t="shared" si="2"/>
        <v>5195000</v>
      </c>
    </row>
    <row r="27" spans="1:6">
      <c r="A27" s="312" t="s">
        <v>66</v>
      </c>
      <c r="B27" s="313"/>
      <c r="C27" s="313"/>
      <c r="D27" s="313"/>
      <c r="E27" s="313"/>
      <c r="F27" s="314"/>
    </row>
    <row r="28" spans="1:6">
      <c r="A28" s="3" t="s">
        <v>28</v>
      </c>
      <c r="B28" s="11" t="s">
        <v>17</v>
      </c>
      <c r="C28" s="14">
        <v>25000</v>
      </c>
      <c r="D28" s="14">
        <v>1000</v>
      </c>
      <c r="E28" s="5">
        <f>C28*D28</f>
        <v>25000000</v>
      </c>
      <c r="F28" s="5">
        <f t="shared" ref="F28:F33" si="3">E28/200</f>
        <v>125000</v>
      </c>
    </row>
    <row r="29" spans="1:6">
      <c r="A29" s="9" t="s">
        <v>70</v>
      </c>
      <c r="B29" s="11" t="s">
        <v>17</v>
      </c>
      <c r="C29" s="14">
        <v>25000</v>
      </c>
      <c r="D29" s="14">
        <v>400</v>
      </c>
      <c r="E29" s="5">
        <f>C29*D29</f>
        <v>10000000</v>
      </c>
      <c r="F29" s="5">
        <f t="shared" si="3"/>
        <v>50000</v>
      </c>
    </row>
    <row r="30" spans="1:6">
      <c r="A30" s="9" t="s">
        <v>68</v>
      </c>
      <c r="B30" s="11" t="s">
        <v>17</v>
      </c>
      <c r="C30" s="14">
        <v>45000</v>
      </c>
      <c r="D30" s="14">
        <v>160</v>
      </c>
      <c r="E30" s="5">
        <f>C30*D30</f>
        <v>7200000</v>
      </c>
      <c r="F30" s="5">
        <f t="shared" si="3"/>
        <v>36000</v>
      </c>
    </row>
    <row r="31" spans="1:6">
      <c r="A31" s="3" t="s">
        <v>69</v>
      </c>
      <c r="B31" s="11" t="s">
        <v>17</v>
      </c>
      <c r="C31" s="11">
        <v>65000</v>
      </c>
      <c r="D31" s="11">
        <v>200</v>
      </c>
      <c r="E31" s="5">
        <f>C31*D31</f>
        <v>13000000</v>
      </c>
      <c r="F31" s="5">
        <f t="shared" si="3"/>
        <v>65000</v>
      </c>
    </row>
    <row r="32" spans="1:6">
      <c r="A32" s="3" t="s">
        <v>67</v>
      </c>
      <c r="B32" s="11" t="s">
        <v>24</v>
      </c>
      <c r="C32" s="11">
        <v>750000</v>
      </c>
      <c r="D32" s="11">
        <v>12</v>
      </c>
      <c r="E32" s="5">
        <f>C32*D32</f>
        <v>9000000</v>
      </c>
      <c r="F32" s="5">
        <f t="shared" si="3"/>
        <v>45000</v>
      </c>
    </row>
    <row r="33" spans="1:6">
      <c r="A33" s="315" t="s">
        <v>59</v>
      </c>
      <c r="B33" s="316"/>
      <c r="C33" s="316"/>
      <c r="D33" s="317"/>
      <c r="E33" s="6">
        <f>SUM(E28:E32)</f>
        <v>64200000</v>
      </c>
      <c r="F33" s="6">
        <f t="shared" si="3"/>
        <v>321000</v>
      </c>
    </row>
    <row r="34" spans="1:6">
      <c r="A34" s="312" t="s">
        <v>60</v>
      </c>
      <c r="B34" s="313"/>
      <c r="C34" s="313"/>
      <c r="D34" s="313"/>
      <c r="E34" s="313"/>
      <c r="F34" s="314"/>
    </row>
    <row r="35" spans="1:6">
      <c r="A35" s="9" t="s">
        <v>31</v>
      </c>
      <c r="B35" s="2" t="s">
        <v>17</v>
      </c>
      <c r="C35" s="14">
        <v>30000</v>
      </c>
      <c r="D35" s="14">
        <v>2000</v>
      </c>
      <c r="E35" s="5">
        <f>C35*D35</f>
        <v>60000000</v>
      </c>
      <c r="F35" s="5">
        <f>E35/200</f>
        <v>300000</v>
      </c>
    </row>
    <row r="36" spans="1:6">
      <c r="A36" s="9" t="s">
        <v>32</v>
      </c>
      <c r="B36" s="2" t="s">
        <v>17</v>
      </c>
      <c r="C36" s="14">
        <v>70000</v>
      </c>
      <c r="D36" s="14">
        <v>100</v>
      </c>
      <c r="E36" s="5">
        <f>C36*D36</f>
        <v>7000000</v>
      </c>
      <c r="F36" s="5">
        <f>E36/200</f>
        <v>35000</v>
      </c>
    </row>
    <row r="37" spans="1:6">
      <c r="A37" s="9" t="s">
        <v>33</v>
      </c>
      <c r="B37" s="2" t="s">
        <v>5</v>
      </c>
      <c r="C37" s="14">
        <v>30000</v>
      </c>
      <c r="D37" s="14">
        <v>180</v>
      </c>
      <c r="E37" s="5">
        <f>C37*D37</f>
        <v>5400000</v>
      </c>
      <c r="F37" s="5">
        <f>E37/200</f>
        <v>27000</v>
      </c>
    </row>
    <row r="38" spans="1:6" ht="15.75" customHeight="1">
      <c r="A38" s="315" t="s">
        <v>71</v>
      </c>
      <c r="B38" s="316"/>
      <c r="C38" s="316"/>
      <c r="D38" s="317"/>
      <c r="E38" s="6">
        <f>SUM(E35:E37)</f>
        <v>72400000</v>
      </c>
      <c r="F38" s="6">
        <f>E38/200</f>
        <v>362000</v>
      </c>
    </row>
    <row r="39" spans="1:6" ht="15.75" customHeight="1">
      <c r="A39" s="312" t="s">
        <v>64</v>
      </c>
      <c r="B39" s="313"/>
      <c r="C39" s="313"/>
      <c r="D39" s="313"/>
      <c r="E39" s="313"/>
      <c r="F39" s="314"/>
    </row>
    <row r="40" spans="1:6">
      <c r="A40" s="9" t="s">
        <v>61</v>
      </c>
      <c r="B40" s="11" t="s">
        <v>17</v>
      </c>
      <c r="C40" s="14">
        <v>15000</v>
      </c>
      <c r="D40" s="14">
        <v>500</v>
      </c>
      <c r="E40" s="5">
        <f>C40*D40</f>
        <v>7500000</v>
      </c>
      <c r="F40" s="5">
        <f>E40/200</f>
        <v>37500</v>
      </c>
    </row>
    <row r="41" spans="1:6">
      <c r="A41" s="312" t="s">
        <v>63</v>
      </c>
      <c r="B41" s="313"/>
      <c r="C41" s="313"/>
      <c r="D41" s="313"/>
      <c r="E41" s="313"/>
      <c r="F41" s="314"/>
    </row>
    <row r="42" spans="1:6">
      <c r="A42" s="9" t="s">
        <v>62</v>
      </c>
      <c r="B42" s="11" t="s">
        <v>17</v>
      </c>
      <c r="C42" s="14">
        <v>15000</v>
      </c>
      <c r="D42" s="14">
        <v>500</v>
      </c>
      <c r="E42" s="5">
        <f>C42*D42</f>
        <v>7500000</v>
      </c>
      <c r="F42" s="5">
        <f t="shared" ref="F42:F47" si="4">E42/200</f>
        <v>37500</v>
      </c>
    </row>
    <row r="43" spans="1:6">
      <c r="A43" s="25" t="s">
        <v>65</v>
      </c>
      <c r="B43" s="11" t="s">
        <v>17</v>
      </c>
      <c r="C43" s="14">
        <v>65000</v>
      </c>
      <c r="D43" s="11">
        <v>120</v>
      </c>
      <c r="E43" s="5">
        <f>C43*D43</f>
        <v>7800000</v>
      </c>
      <c r="F43" s="5">
        <f t="shared" si="4"/>
        <v>39000</v>
      </c>
    </row>
    <row r="44" spans="1:6">
      <c r="A44" s="303" t="s">
        <v>39</v>
      </c>
      <c r="B44" s="304"/>
      <c r="C44" s="304"/>
      <c r="D44" s="305"/>
      <c r="E44" s="6">
        <f>E16+E26+E33+E38+E40+E42+E43</f>
        <v>1432900000</v>
      </c>
      <c r="F44" s="6">
        <f t="shared" si="4"/>
        <v>7164500</v>
      </c>
    </row>
    <row r="45" spans="1:6">
      <c r="A45" s="306" t="s">
        <v>7</v>
      </c>
      <c r="B45" s="307"/>
      <c r="C45" s="307"/>
      <c r="D45" s="308"/>
      <c r="E45" s="5">
        <f>E44*12%</f>
        <v>171948000</v>
      </c>
      <c r="F45" s="5">
        <f t="shared" si="4"/>
        <v>859740</v>
      </c>
    </row>
    <row r="46" spans="1:6">
      <c r="A46" s="306" t="s">
        <v>13</v>
      </c>
      <c r="B46" s="307"/>
      <c r="C46" s="307"/>
      <c r="D46" s="308"/>
      <c r="E46" s="5">
        <f>E44*15%</f>
        <v>214935000</v>
      </c>
      <c r="F46" s="5">
        <f t="shared" si="4"/>
        <v>1074675</v>
      </c>
    </row>
    <row r="47" spans="1:6">
      <c r="A47" s="303" t="s">
        <v>38</v>
      </c>
      <c r="B47" s="304"/>
      <c r="C47" s="304"/>
      <c r="D47" s="305"/>
      <c r="E47" s="6">
        <f>E44+E45+E46</f>
        <v>1819783000</v>
      </c>
      <c r="F47" s="6">
        <f t="shared" si="4"/>
        <v>9098915</v>
      </c>
    </row>
  </sheetData>
  <mergeCells count="16">
    <mergeCell ref="E1:F1"/>
    <mergeCell ref="A1:D1"/>
    <mergeCell ref="A3:F3"/>
    <mergeCell ref="A46:D46"/>
    <mergeCell ref="A47:D47"/>
    <mergeCell ref="A16:D16"/>
    <mergeCell ref="A26:D26"/>
    <mergeCell ref="A27:F27"/>
    <mergeCell ref="A17:F17"/>
    <mergeCell ref="A39:F39"/>
    <mergeCell ref="A45:D45"/>
    <mergeCell ref="A44:D44"/>
    <mergeCell ref="A33:D33"/>
    <mergeCell ref="A34:F34"/>
    <mergeCell ref="A38:D38"/>
    <mergeCell ref="A41:F4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F24"/>
  <sheetViews>
    <sheetView workbookViewId="0">
      <selection activeCell="F8" sqref="F8"/>
    </sheetView>
  </sheetViews>
  <sheetFormatPr baseColWidth="10" defaultRowHeight="15.6"/>
  <cols>
    <col min="1" max="1" width="45.296875" customWidth="1"/>
    <col min="2" max="2" width="7.796875" customWidth="1"/>
    <col min="3" max="3" width="16.796875" bestFit="1" customWidth="1"/>
    <col min="4" max="4" width="15.19921875" customWidth="1"/>
    <col min="5" max="5" width="19.19921875" bestFit="1" customWidth="1"/>
    <col min="6" max="6" width="17.5" customWidth="1"/>
  </cols>
  <sheetData>
    <row r="1" spans="1:6">
      <c r="A1" s="325" t="s">
        <v>40</v>
      </c>
      <c r="B1" s="325"/>
      <c r="C1" s="325"/>
      <c r="D1" s="325"/>
      <c r="E1" s="324" t="s">
        <v>9</v>
      </c>
      <c r="F1" s="324"/>
    </row>
    <row r="2" spans="1:6">
      <c r="A2" s="18" t="s">
        <v>2</v>
      </c>
      <c r="B2" s="18" t="s">
        <v>3</v>
      </c>
      <c r="C2" s="18" t="s">
        <v>4</v>
      </c>
      <c r="D2" s="18" t="s">
        <v>0</v>
      </c>
      <c r="E2" s="18" t="s">
        <v>10</v>
      </c>
      <c r="F2" s="18" t="s">
        <v>8</v>
      </c>
    </row>
    <row r="3" spans="1:6">
      <c r="A3" s="312" t="s">
        <v>77</v>
      </c>
      <c r="B3" s="313"/>
      <c r="C3" s="313"/>
      <c r="D3" s="313"/>
      <c r="E3" s="313"/>
      <c r="F3" s="314"/>
    </row>
    <row r="4" spans="1:6">
      <c r="A4" s="3" t="s">
        <v>78</v>
      </c>
      <c r="B4" s="14" t="s">
        <v>24</v>
      </c>
      <c r="C4" s="12">
        <v>80000000</v>
      </c>
      <c r="D4" s="1">
        <v>1</v>
      </c>
      <c r="E4" s="5">
        <f>C4*D4</f>
        <v>80000000</v>
      </c>
      <c r="F4" s="5">
        <f>E4/200</f>
        <v>400000</v>
      </c>
    </row>
    <row r="5" spans="1:6" ht="30">
      <c r="A5" s="3" t="s">
        <v>86</v>
      </c>
      <c r="B5" s="14" t="s">
        <v>24</v>
      </c>
      <c r="C5" s="12">
        <v>100000000</v>
      </c>
      <c r="D5" s="14">
        <v>1</v>
      </c>
      <c r="E5" s="5">
        <f>C5*D5</f>
        <v>100000000</v>
      </c>
      <c r="F5" s="5">
        <f>E5/200</f>
        <v>500000</v>
      </c>
    </row>
    <row r="6" spans="1:6" ht="30">
      <c r="A6" s="3" t="s">
        <v>79</v>
      </c>
      <c r="B6" s="14" t="s">
        <v>24</v>
      </c>
      <c r="C6" s="12">
        <v>120000</v>
      </c>
      <c r="D6" s="14">
        <v>300</v>
      </c>
      <c r="E6" s="5">
        <f>C6*D6</f>
        <v>36000000</v>
      </c>
      <c r="F6" s="5">
        <f>E6/200</f>
        <v>180000</v>
      </c>
    </row>
    <row r="7" spans="1:6">
      <c r="A7" s="312" t="s">
        <v>80</v>
      </c>
      <c r="B7" s="313"/>
      <c r="C7" s="313"/>
      <c r="D7" s="313"/>
      <c r="E7" s="313"/>
      <c r="F7" s="314"/>
    </row>
    <row r="8" spans="1:6" ht="30">
      <c r="A8" s="3" t="s">
        <v>81</v>
      </c>
      <c r="B8" s="14" t="s">
        <v>24</v>
      </c>
      <c r="C8" s="12">
        <v>120000</v>
      </c>
      <c r="D8" s="14">
        <v>800</v>
      </c>
      <c r="E8" s="5">
        <f>D8*C8</f>
        <v>96000000</v>
      </c>
      <c r="F8" s="27">
        <f>E8/200</f>
        <v>480000</v>
      </c>
    </row>
    <row r="9" spans="1:6" ht="30">
      <c r="A9" s="3" t="s">
        <v>88</v>
      </c>
      <c r="B9" s="14" t="s">
        <v>24</v>
      </c>
      <c r="C9" s="12">
        <v>120000</v>
      </c>
      <c r="D9" s="14">
        <v>500</v>
      </c>
      <c r="E9" s="5">
        <f>D9*C9</f>
        <v>60000000</v>
      </c>
      <c r="F9" s="27">
        <f>E9/200</f>
        <v>300000</v>
      </c>
    </row>
    <row r="10" spans="1:6">
      <c r="A10" s="312" t="s">
        <v>84</v>
      </c>
      <c r="B10" s="313"/>
      <c r="C10" s="313"/>
      <c r="D10" s="313"/>
      <c r="E10" s="313"/>
      <c r="F10" s="314"/>
    </row>
    <row r="11" spans="1:6" ht="30">
      <c r="A11" s="3" t="s">
        <v>83</v>
      </c>
      <c r="B11" s="14" t="s">
        <v>17</v>
      </c>
      <c r="C11" s="12">
        <v>120000</v>
      </c>
      <c r="D11" s="1">
        <v>400</v>
      </c>
      <c r="E11" s="5">
        <f t="shared" ref="E11:E16" si="0">C11*D11</f>
        <v>48000000</v>
      </c>
      <c r="F11" s="5">
        <f>E11/200</f>
        <v>240000</v>
      </c>
    </row>
    <row r="12" spans="1:6">
      <c r="A12" s="3" t="s">
        <v>85</v>
      </c>
      <c r="B12" s="11" t="s">
        <v>17</v>
      </c>
      <c r="C12" s="12">
        <v>25000</v>
      </c>
      <c r="D12" s="26">
        <v>800</v>
      </c>
      <c r="E12" s="5">
        <f t="shared" si="0"/>
        <v>20000000</v>
      </c>
      <c r="F12" s="5">
        <f>E12/200</f>
        <v>100000</v>
      </c>
    </row>
    <row r="13" spans="1:6">
      <c r="A13" s="312" t="s">
        <v>34</v>
      </c>
      <c r="B13" s="313"/>
      <c r="C13" s="313"/>
      <c r="D13" s="313"/>
      <c r="E13" s="313"/>
      <c r="F13" s="314"/>
    </row>
    <row r="14" spans="1:6">
      <c r="A14" s="3" t="s">
        <v>89</v>
      </c>
      <c r="B14" s="11" t="s">
        <v>17</v>
      </c>
      <c r="C14" s="12">
        <v>25000</v>
      </c>
      <c r="D14" s="1">
        <v>700</v>
      </c>
      <c r="E14" s="5">
        <f t="shared" si="0"/>
        <v>17500000</v>
      </c>
      <c r="F14" s="5">
        <f t="shared" ref="F14:F24" si="1">E14/200</f>
        <v>87500</v>
      </c>
    </row>
    <row r="15" spans="1:6">
      <c r="A15" s="3" t="s">
        <v>90</v>
      </c>
      <c r="B15" s="11" t="s">
        <v>17</v>
      </c>
      <c r="C15" s="12">
        <v>25000</v>
      </c>
      <c r="D15" s="14">
        <v>2100</v>
      </c>
      <c r="E15" s="5">
        <f t="shared" si="0"/>
        <v>52500000</v>
      </c>
      <c r="F15" s="5">
        <f t="shared" si="1"/>
        <v>262500</v>
      </c>
    </row>
    <row r="16" spans="1:6">
      <c r="A16" s="3" t="s">
        <v>91</v>
      </c>
      <c r="B16" s="11" t="s">
        <v>92</v>
      </c>
      <c r="C16" s="12">
        <v>25000</v>
      </c>
      <c r="D16" s="11">
        <v>1400</v>
      </c>
      <c r="E16" s="5">
        <f t="shared" si="0"/>
        <v>35000000</v>
      </c>
      <c r="F16" s="5">
        <f t="shared" si="1"/>
        <v>175000</v>
      </c>
    </row>
    <row r="17" spans="1:6">
      <c r="A17" s="312" t="s">
        <v>35</v>
      </c>
      <c r="B17" s="313"/>
      <c r="C17" s="313"/>
      <c r="D17" s="313"/>
      <c r="E17" s="313"/>
      <c r="F17" s="314"/>
    </row>
    <row r="18" spans="1:6">
      <c r="A18" s="3" t="s">
        <v>82</v>
      </c>
      <c r="B18" s="2" t="s">
        <v>17</v>
      </c>
      <c r="C18" s="12">
        <v>120000</v>
      </c>
      <c r="D18" s="1">
        <v>400</v>
      </c>
      <c r="E18" s="5">
        <f>C18*D18</f>
        <v>48000000</v>
      </c>
      <c r="F18" s="5">
        <f t="shared" si="1"/>
        <v>240000</v>
      </c>
    </row>
    <row r="19" spans="1:6">
      <c r="A19" s="312" t="s">
        <v>36</v>
      </c>
      <c r="B19" s="313"/>
      <c r="C19" s="313"/>
      <c r="D19" s="313"/>
      <c r="E19" s="313"/>
      <c r="F19" s="314"/>
    </row>
    <row r="20" spans="1:6">
      <c r="A20" s="3" t="s">
        <v>87</v>
      </c>
      <c r="B20" s="2" t="s">
        <v>17</v>
      </c>
      <c r="C20" s="12">
        <v>120000</v>
      </c>
      <c r="D20" s="1">
        <v>400</v>
      </c>
      <c r="E20" s="5">
        <f>C20*D20</f>
        <v>48000000</v>
      </c>
      <c r="F20" s="5">
        <f>E20/200</f>
        <v>240000</v>
      </c>
    </row>
    <row r="21" spans="1:6">
      <c r="A21" s="318" t="s">
        <v>39</v>
      </c>
      <c r="B21" s="319"/>
      <c r="C21" s="319"/>
      <c r="D21" s="320"/>
      <c r="E21" s="6">
        <f>SUM(E20,E18,E14:E16,E11:E12,E8:E9,E4:E6)</f>
        <v>641000000</v>
      </c>
      <c r="F21" s="6">
        <f>E21/200</f>
        <v>3205000</v>
      </c>
    </row>
    <row r="22" spans="1:6">
      <c r="A22" s="321" t="s">
        <v>7</v>
      </c>
      <c r="B22" s="322"/>
      <c r="C22" s="322"/>
      <c r="D22" s="323"/>
      <c r="E22" s="5">
        <f>E21*12%</f>
        <v>76920000</v>
      </c>
      <c r="F22" s="5">
        <f t="shared" si="1"/>
        <v>384600</v>
      </c>
    </row>
    <row r="23" spans="1:6">
      <c r="A23" s="321" t="s">
        <v>13</v>
      </c>
      <c r="B23" s="322"/>
      <c r="C23" s="322"/>
      <c r="D23" s="323"/>
      <c r="E23" s="5">
        <f>E21*15%</f>
        <v>96150000</v>
      </c>
      <c r="F23" s="5">
        <f t="shared" si="1"/>
        <v>480750</v>
      </c>
    </row>
    <row r="24" spans="1:6">
      <c r="A24" s="318" t="s">
        <v>38</v>
      </c>
      <c r="B24" s="319"/>
      <c r="C24" s="319"/>
      <c r="D24" s="320"/>
      <c r="E24" s="6">
        <f>E21+E22+E23</f>
        <v>814070000</v>
      </c>
      <c r="F24" s="6">
        <f t="shared" si="1"/>
        <v>4070350</v>
      </c>
    </row>
  </sheetData>
  <mergeCells count="12">
    <mergeCell ref="A24:D24"/>
    <mergeCell ref="A23:D23"/>
    <mergeCell ref="A22:D22"/>
    <mergeCell ref="A21:D21"/>
    <mergeCell ref="E1:F1"/>
    <mergeCell ref="A1:D1"/>
    <mergeCell ref="A10:F10"/>
    <mergeCell ref="A13:F13"/>
    <mergeCell ref="A17:F17"/>
    <mergeCell ref="A3:F3"/>
    <mergeCell ref="A7:F7"/>
    <mergeCell ref="A19:F19"/>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P77"/>
  <sheetViews>
    <sheetView zoomScale="75" zoomScaleNormal="75" zoomScalePageLayoutView="75" workbookViewId="0">
      <selection activeCell="A7" sqref="A7"/>
    </sheetView>
  </sheetViews>
  <sheetFormatPr baseColWidth="10" defaultRowHeight="15.6"/>
  <cols>
    <col min="1" max="1" width="77.796875" customWidth="1"/>
    <col min="2" max="2" width="9" bestFit="1" customWidth="1"/>
    <col min="3" max="3" width="21.5" customWidth="1"/>
    <col min="4" max="4" width="11.5" customWidth="1"/>
    <col min="5" max="5" width="29.5" bestFit="1" customWidth="1"/>
    <col min="6" max="6" width="24.69921875" customWidth="1"/>
    <col min="7" max="9" width="8.69921875" customWidth="1"/>
    <col min="10" max="10" width="86.69921875" customWidth="1"/>
    <col min="11" max="11" width="9" bestFit="1" customWidth="1"/>
    <col min="12" max="12" width="21.5" customWidth="1"/>
    <col min="13" max="13" width="11.5" customWidth="1"/>
    <col min="14" max="14" width="29.5" bestFit="1" customWidth="1"/>
    <col min="15" max="15" width="24.69921875" customWidth="1"/>
    <col min="16" max="16" width="17.296875" customWidth="1"/>
  </cols>
  <sheetData>
    <row r="1" spans="1:16">
      <c r="A1" s="329" t="s">
        <v>219</v>
      </c>
      <c r="B1" s="330"/>
      <c r="C1" s="330"/>
      <c r="D1" s="330"/>
      <c r="E1" s="330"/>
      <c r="F1" s="331"/>
      <c r="G1" s="196"/>
      <c r="H1" s="197"/>
      <c r="I1" s="196"/>
      <c r="J1" s="329" t="s">
        <v>213</v>
      </c>
      <c r="K1" s="330"/>
      <c r="L1" s="330"/>
      <c r="M1" s="330"/>
      <c r="N1" s="330"/>
      <c r="O1" s="331"/>
      <c r="P1" s="198"/>
    </row>
    <row r="2" spans="1:16">
      <c r="A2" s="332"/>
      <c r="B2" s="333"/>
      <c r="C2" s="333"/>
      <c r="D2" s="333"/>
      <c r="E2" s="333"/>
      <c r="F2" s="334"/>
      <c r="G2" s="39"/>
      <c r="H2" s="199"/>
      <c r="I2" s="39"/>
      <c r="J2" s="332"/>
      <c r="K2" s="333"/>
      <c r="L2" s="333"/>
      <c r="M2" s="333"/>
      <c r="N2" s="333"/>
      <c r="O2" s="334"/>
      <c r="P2" s="200"/>
    </row>
    <row r="3" spans="1:16">
      <c r="A3" s="332"/>
      <c r="B3" s="333"/>
      <c r="C3" s="333"/>
      <c r="D3" s="333"/>
      <c r="E3" s="333"/>
      <c r="F3" s="334"/>
      <c r="G3" s="39"/>
      <c r="H3" s="199"/>
      <c r="I3" s="39"/>
      <c r="J3" s="332"/>
      <c r="K3" s="333"/>
      <c r="L3" s="333"/>
      <c r="M3" s="333"/>
      <c r="N3" s="333"/>
      <c r="O3" s="334"/>
      <c r="P3" s="200"/>
    </row>
    <row r="4" spans="1:16">
      <c r="A4" s="332"/>
      <c r="B4" s="333"/>
      <c r="C4" s="333"/>
      <c r="D4" s="333"/>
      <c r="E4" s="333"/>
      <c r="F4" s="334"/>
      <c r="G4" s="39"/>
      <c r="H4" s="199"/>
      <c r="I4" s="39"/>
      <c r="J4" s="332"/>
      <c r="K4" s="333"/>
      <c r="L4" s="333"/>
      <c r="M4" s="333"/>
      <c r="N4" s="333"/>
      <c r="O4" s="334"/>
      <c r="P4" s="200"/>
    </row>
    <row r="5" spans="1:16">
      <c r="A5" s="332"/>
      <c r="B5" s="333"/>
      <c r="C5" s="333"/>
      <c r="D5" s="333"/>
      <c r="E5" s="333"/>
      <c r="F5" s="334"/>
      <c r="G5" s="39"/>
      <c r="H5" s="199"/>
      <c r="I5" s="39"/>
      <c r="J5" s="332"/>
      <c r="K5" s="333"/>
      <c r="L5" s="333"/>
      <c r="M5" s="333"/>
      <c r="N5" s="333"/>
      <c r="O5" s="334"/>
      <c r="P5" s="200"/>
    </row>
    <row r="6" spans="1:16">
      <c r="A6" s="335"/>
      <c r="B6" s="336"/>
      <c r="C6" s="336"/>
      <c r="D6" s="336"/>
      <c r="E6" s="336"/>
      <c r="F6" s="337"/>
      <c r="G6" s="39"/>
      <c r="H6" s="199"/>
      <c r="I6" s="39"/>
      <c r="J6" s="335"/>
      <c r="K6" s="336"/>
      <c r="L6" s="336"/>
      <c r="M6" s="336"/>
      <c r="N6" s="336"/>
      <c r="O6" s="337"/>
      <c r="P6" s="201"/>
    </row>
    <row r="7" spans="1:16">
      <c r="A7" s="202"/>
      <c r="B7" s="39"/>
      <c r="C7" s="39"/>
      <c r="D7" s="39"/>
      <c r="E7" s="39"/>
      <c r="F7" s="39"/>
      <c r="G7" s="39"/>
      <c r="H7" s="199"/>
      <c r="I7" s="39"/>
      <c r="J7" s="39"/>
      <c r="K7" s="39"/>
      <c r="L7" s="39"/>
      <c r="M7" s="39"/>
      <c r="N7" s="39"/>
      <c r="O7" s="39"/>
      <c r="P7" s="200"/>
    </row>
    <row r="8" spans="1:16">
      <c r="A8" s="202"/>
      <c r="B8" s="39"/>
      <c r="C8" s="39"/>
      <c r="D8" s="39"/>
      <c r="E8" s="39"/>
      <c r="F8" s="39"/>
      <c r="G8" s="39"/>
      <c r="H8" s="199"/>
      <c r="I8" s="39"/>
      <c r="J8" s="39"/>
      <c r="K8" s="39"/>
      <c r="L8" s="39"/>
      <c r="M8" s="39"/>
      <c r="N8" s="39"/>
      <c r="O8" s="39"/>
      <c r="P8" s="200"/>
    </row>
    <row r="9" spans="1:16" ht="48" customHeight="1">
      <c r="A9" s="364" t="s">
        <v>221</v>
      </c>
      <c r="B9" s="365"/>
      <c r="C9" s="365"/>
      <c r="D9" s="366"/>
      <c r="E9" s="268" t="s">
        <v>9</v>
      </c>
      <c r="F9" s="270"/>
      <c r="G9" s="39"/>
      <c r="H9" s="199"/>
      <c r="I9" s="39"/>
      <c r="J9" s="364" t="s">
        <v>222</v>
      </c>
      <c r="K9" s="365"/>
      <c r="L9" s="365"/>
      <c r="M9" s="366"/>
      <c r="N9" s="268" t="s">
        <v>9</v>
      </c>
      <c r="O9" s="270"/>
      <c r="P9" s="200"/>
    </row>
    <row r="10" spans="1:16">
      <c r="A10" s="193" t="s">
        <v>2</v>
      </c>
      <c r="B10" s="193" t="s">
        <v>3</v>
      </c>
      <c r="C10" s="193" t="s">
        <v>4</v>
      </c>
      <c r="D10" s="193" t="s">
        <v>0</v>
      </c>
      <c r="E10" s="193" t="s">
        <v>10</v>
      </c>
      <c r="F10" s="193" t="s">
        <v>8</v>
      </c>
      <c r="G10" s="39"/>
      <c r="H10" s="199"/>
      <c r="I10" s="39"/>
      <c r="J10" s="193" t="s">
        <v>2</v>
      </c>
      <c r="K10" s="193" t="s">
        <v>3</v>
      </c>
      <c r="L10" s="193" t="s">
        <v>4</v>
      </c>
      <c r="M10" s="193" t="s">
        <v>0</v>
      </c>
      <c r="N10" s="193" t="s">
        <v>10</v>
      </c>
      <c r="O10" s="193" t="s">
        <v>8</v>
      </c>
      <c r="P10" s="200"/>
    </row>
    <row r="11" spans="1:16" ht="15.75" customHeight="1">
      <c r="A11" s="353" t="s">
        <v>95</v>
      </c>
      <c r="B11" s="354"/>
      <c r="C11" s="354"/>
      <c r="D11" s="354"/>
      <c r="E11" s="354"/>
      <c r="F11" s="355"/>
      <c r="G11" s="39"/>
      <c r="H11" s="199"/>
      <c r="I11" s="39"/>
      <c r="J11" s="294" t="s">
        <v>95</v>
      </c>
      <c r="K11" s="295"/>
      <c r="L11" s="295"/>
      <c r="M11" s="295"/>
      <c r="N11" s="295"/>
      <c r="O11" s="296"/>
      <c r="P11" s="200"/>
    </row>
    <row r="12" spans="1:16">
      <c r="A12" s="101" t="s">
        <v>132</v>
      </c>
      <c r="B12" s="102"/>
      <c r="C12" s="103"/>
      <c r="D12" s="102"/>
      <c r="E12" s="103"/>
      <c r="F12" s="103"/>
      <c r="G12" s="39"/>
      <c r="H12" s="199"/>
      <c r="I12" s="39"/>
      <c r="J12" s="101" t="s">
        <v>16</v>
      </c>
      <c r="K12" s="102"/>
      <c r="L12" s="103"/>
      <c r="M12" s="104"/>
      <c r="N12" s="103"/>
      <c r="O12" s="103"/>
      <c r="P12" s="200"/>
    </row>
    <row r="13" spans="1:16">
      <c r="A13" s="105" t="s">
        <v>45</v>
      </c>
      <c r="B13" s="102" t="s">
        <v>5</v>
      </c>
      <c r="C13" s="103">
        <v>141000</v>
      </c>
      <c r="D13" s="104">
        <v>1070</v>
      </c>
      <c r="E13" s="103">
        <f>C13*D13</f>
        <v>150870000</v>
      </c>
      <c r="F13" s="103">
        <f>E13/200</f>
        <v>754350</v>
      </c>
      <c r="G13" s="39"/>
      <c r="H13" s="199"/>
      <c r="I13" s="39"/>
      <c r="J13" s="105" t="s">
        <v>45</v>
      </c>
      <c r="K13" s="102" t="s">
        <v>5</v>
      </c>
      <c r="L13" s="103">
        <v>141000</v>
      </c>
      <c r="M13" s="104">
        <v>880</v>
      </c>
      <c r="N13" s="139">
        <f>L13*M13</f>
        <v>124080000</v>
      </c>
      <c r="O13" s="139">
        <f>N13/200</f>
        <v>620400</v>
      </c>
      <c r="P13" s="200"/>
    </row>
    <row r="14" spans="1:16" ht="30">
      <c r="A14" s="112" t="s">
        <v>136</v>
      </c>
      <c r="B14" s="108" t="s">
        <v>5</v>
      </c>
      <c r="C14" s="109">
        <v>60000</v>
      </c>
      <c r="D14" s="110">
        <v>725</v>
      </c>
      <c r="E14" s="98">
        <f>C14*D14</f>
        <v>43500000</v>
      </c>
      <c r="F14" s="98">
        <f>E14/200</f>
        <v>217500</v>
      </c>
      <c r="G14" s="39"/>
      <c r="H14" s="199"/>
      <c r="I14" s="39"/>
      <c r="J14" s="101" t="s">
        <v>184</v>
      </c>
      <c r="K14" s="168"/>
      <c r="L14" s="169"/>
      <c r="M14" s="170"/>
      <c r="N14" s="90"/>
      <c r="O14" s="171"/>
      <c r="P14" s="200"/>
    </row>
    <row r="15" spans="1:16">
      <c r="A15" s="347" t="s">
        <v>29</v>
      </c>
      <c r="B15" s="348"/>
      <c r="C15" s="348"/>
      <c r="D15" s="349"/>
      <c r="E15" s="111">
        <f>SUM(E13:E14)</f>
        <v>194370000</v>
      </c>
      <c r="F15" s="111">
        <f>SUM(F13:F14)</f>
        <v>971850</v>
      </c>
      <c r="G15" s="39"/>
      <c r="H15" s="199"/>
      <c r="I15" s="39"/>
      <c r="J15" s="105" t="s">
        <v>45</v>
      </c>
      <c r="K15" s="102" t="s">
        <v>5</v>
      </c>
      <c r="L15" s="103">
        <v>141000</v>
      </c>
      <c r="M15" s="104">
        <v>285</v>
      </c>
      <c r="N15" s="139">
        <f>L15*M15</f>
        <v>40185000</v>
      </c>
      <c r="O15" s="139">
        <f>N15/200</f>
        <v>200925</v>
      </c>
      <c r="P15" s="200"/>
    </row>
    <row r="16" spans="1:16" ht="15.75" customHeight="1">
      <c r="A16" s="353" t="s">
        <v>106</v>
      </c>
      <c r="B16" s="354"/>
      <c r="C16" s="354"/>
      <c r="D16" s="354"/>
      <c r="E16" s="354"/>
      <c r="F16" s="355"/>
      <c r="G16" s="39"/>
      <c r="H16" s="199"/>
      <c r="I16" s="39"/>
      <c r="J16" s="294" t="s">
        <v>96</v>
      </c>
      <c r="K16" s="295"/>
      <c r="L16" s="295"/>
      <c r="M16" s="295"/>
      <c r="N16" s="295"/>
      <c r="O16" s="296"/>
      <c r="P16" s="200"/>
    </row>
    <row r="17" spans="1:16">
      <c r="A17" s="178" t="s">
        <v>198</v>
      </c>
      <c r="B17" s="108" t="s">
        <v>92</v>
      </c>
      <c r="C17" s="109">
        <v>2000</v>
      </c>
      <c r="D17" s="110">
        <f>'Assamo Marchés'!R174*0.5</f>
        <v>3950</v>
      </c>
      <c r="E17" s="98">
        <f>D17*C17</f>
        <v>7900000</v>
      </c>
      <c r="F17" s="98">
        <f>E17/200</f>
        <v>39500</v>
      </c>
      <c r="G17" s="39"/>
      <c r="H17" s="199"/>
      <c r="I17" s="39"/>
      <c r="J17" s="113" t="s">
        <v>47</v>
      </c>
      <c r="K17" s="144"/>
      <c r="L17" s="98"/>
      <c r="M17" s="109"/>
      <c r="N17" s="98"/>
      <c r="O17" s="98"/>
      <c r="P17" s="200"/>
    </row>
    <row r="18" spans="1:16" ht="30">
      <c r="A18" s="112" t="s">
        <v>203</v>
      </c>
      <c r="B18" s="108" t="s">
        <v>17</v>
      </c>
      <c r="C18" s="109">
        <v>25000</v>
      </c>
      <c r="D18" s="110">
        <f>'Assamo Marchés'!R175+'Assamo Marchés'!R176+'Assamo Marchés'!R177+'Assamo Marchés'!R178</f>
        <v>3372.5</v>
      </c>
      <c r="E18" s="98">
        <f t="shared" ref="E18:E27" si="0">D18*C18</f>
        <v>84312500</v>
      </c>
      <c r="F18" s="98">
        <f t="shared" ref="F18:F27" si="1">E18/200</f>
        <v>421562.5</v>
      </c>
      <c r="G18" s="39"/>
      <c r="H18" s="199"/>
      <c r="I18" s="39"/>
      <c r="J18" s="107" t="s">
        <v>49</v>
      </c>
      <c r="K18" s="108" t="s">
        <v>5</v>
      </c>
      <c r="L18" s="98">
        <v>113000</v>
      </c>
      <c r="M18" s="109">
        <v>280</v>
      </c>
      <c r="N18" s="111">
        <f>L18*M18</f>
        <v>31640000</v>
      </c>
      <c r="O18" s="111">
        <f>N18/200</f>
        <v>158200</v>
      </c>
      <c r="P18" s="200"/>
    </row>
    <row r="19" spans="1:16" ht="15.75" customHeight="1">
      <c r="A19" s="112" t="s">
        <v>199</v>
      </c>
      <c r="B19" s="108" t="s">
        <v>17</v>
      </c>
      <c r="C19" s="109">
        <v>21000</v>
      </c>
      <c r="D19" s="110">
        <f>'Assamo Marchés'!R179</f>
        <v>4527.5</v>
      </c>
      <c r="E19" s="98">
        <f t="shared" si="0"/>
        <v>95077500</v>
      </c>
      <c r="F19" s="98">
        <f t="shared" si="1"/>
        <v>475387.5</v>
      </c>
      <c r="G19" s="39"/>
      <c r="H19" s="199"/>
      <c r="I19" s="39"/>
      <c r="J19" s="294" t="s">
        <v>97</v>
      </c>
      <c r="K19" s="295"/>
      <c r="L19" s="295"/>
      <c r="M19" s="295"/>
      <c r="N19" s="295"/>
      <c r="O19" s="296"/>
      <c r="P19" s="200"/>
    </row>
    <row r="20" spans="1:16">
      <c r="A20" s="112" t="s">
        <v>172</v>
      </c>
      <c r="B20" s="108" t="s">
        <v>17</v>
      </c>
      <c r="C20" s="109">
        <v>65000</v>
      </c>
      <c r="D20" s="108">
        <f>'Assamo Marchés'!R177</f>
        <v>312.5</v>
      </c>
      <c r="E20" s="98">
        <f t="shared" si="0"/>
        <v>20312500</v>
      </c>
      <c r="F20" s="98">
        <f t="shared" si="1"/>
        <v>101562.5</v>
      </c>
      <c r="G20" s="39"/>
      <c r="H20" s="199"/>
      <c r="I20" s="39"/>
      <c r="J20" s="101" t="s">
        <v>55</v>
      </c>
      <c r="K20" s="106"/>
      <c r="L20" s="103"/>
      <c r="M20" s="106"/>
      <c r="N20" s="103"/>
      <c r="O20" s="103"/>
      <c r="P20" s="200"/>
    </row>
    <row r="21" spans="1:16">
      <c r="A21" s="112" t="s">
        <v>171</v>
      </c>
      <c r="B21" s="108" t="s">
        <v>17</v>
      </c>
      <c r="C21" s="109">
        <v>65000</v>
      </c>
      <c r="D21" s="108">
        <f>'Assamo Marchés'!R175</f>
        <v>1450</v>
      </c>
      <c r="E21" s="98">
        <f t="shared" si="0"/>
        <v>94250000</v>
      </c>
      <c r="F21" s="98">
        <f t="shared" si="1"/>
        <v>471250</v>
      </c>
      <c r="G21" s="39"/>
      <c r="H21" s="199"/>
      <c r="I21" s="39"/>
      <c r="J21" s="105" t="s">
        <v>183</v>
      </c>
      <c r="K21" s="102" t="s">
        <v>5</v>
      </c>
      <c r="L21" s="103">
        <v>105000</v>
      </c>
      <c r="M21" s="104">
        <v>710</v>
      </c>
      <c r="N21" s="103">
        <f>L21*M21</f>
        <v>74550000</v>
      </c>
      <c r="O21" s="103">
        <f>N21/200</f>
        <v>372750</v>
      </c>
      <c r="P21" s="200"/>
    </row>
    <row r="22" spans="1:16">
      <c r="A22" s="107" t="s">
        <v>173</v>
      </c>
      <c r="B22" s="108" t="s">
        <v>17</v>
      </c>
      <c r="C22" s="109">
        <v>45000</v>
      </c>
      <c r="D22" s="110">
        <f>'Assamo Marchés'!R176</f>
        <v>610</v>
      </c>
      <c r="E22" s="98">
        <f t="shared" si="0"/>
        <v>27450000</v>
      </c>
      <c r="F22" s="98">
        <f t="shared" si="1"/>
        <v>137250</v>
      </c>
      <c r="G22" s="39"/>
      <c r="H22" s="199"/>
      <c r="I22" s="39"/>
      <c r="J22" s="105" t="s">
        <v>185</v>
      </c>
      <c r="K22" s="102" t="s">
        <v>24</v>
      </c>
      <c r="L22" s="103">
        <v>750000</v>
      </c>
      <c r="M22" s="104">
        <v>10</v>
      </c>
      <c r="N22" s="103">
        <f>L22*M22</f>
        <v>7500000</v>
      </c>
      <c r="O22" s="103">
        <f>N22/200</f>
        <v>37500</v>
      </c>
      <c r="P22" s="200"/>
    </row>
    <row r="23" spans="1:16" ht="15.75" customHeight="1">
      <c r="A23" s="112" t="s">
        <v>67</v>
      </c>
      <c r="B23" s="108" t="s">
        <v>24</v>
      </c>
      <c r="C23" s="109">
        <v>750000</v>
      </c>
      <c r="D23" s="108">
        <f>'Assamo Marchés'!R183</f>
        <v>16</v>
      </c>
      <c r="E23" s="98">
        <f t="shared" si="0"/>
        <v>12000000</v>
      </c>
      <c r="F23" s="98">
        <f t="shared" si="1"/>
        <v>60000</v>
      </c>
      <c r="G23" s="39"/>
      <c r="H23" s="199"/>
      <c r="I23" s="39"/>
      <c r="J23" s="347" t="s">
        <v>59</v>
      </c>
      <c r="K23" s="348"/>
      <c r="L23" s="348"/>
      <c r="M23" s="349"/>
      <c r="N23" s="139">
        <f>SUM(N21:N22)</f>
        <v>82050000</v>
      </c>
      <c r="O23" s="139">
        <f>SUM(O21:O22)</f>
        <v>410250</v>
      </c>
      <c r="P23" s="200"/>
    </row>
    <row r="24" spans="1:16" ht="15.75" customHeight="1">
      <c r="A24" s="112" t="s">
        <v>73</v>
      </c>
      <c r="B24" s="108" t="s">
        <v>24</v>
      </c>
      <c r="C24" s="109">
        <v>2000000</v>
      </c>
      <c r="D24" s="108">
        <f>'Assamo Marchés'!R184</f>
        <v>4</v>
      </c>
      <c r="E24" s="98">
        <f t="shared" si="0"/>
        <v>8000000</v>
      </c>
      <c r="F24" s="98">
        <f t="shared" si="1"/>
        <v>40000</v>
      </c>
      <c r="G24" s="39"/>
      <c r="H24" s="199"/>
      <c r="I24" s="39"/>
      <c r="J24" s="280" t="s">
        <v>181</v>
      </c>
      <c r="K24" s="281"/>
      <c r="L24" s="281"/>
      <c r="M24" s="281"/>
      <c r="N24" s="281"/>
      <c r="O24" s="282"/>
      <c r="P24" s="200"/>
    </row>
    <row r="25" spans="1:16">
      <c r="A25" s="112" t="s">
        <v>201</v>
      </c>
      <c r="B25" s="108" t="s">
        <v>24</v>
      </c>
      <c r="C25" s="109">
        <v>3000000</v>
      </c>
      <c r="D25" s="108">
        <f>'Assamo Marchés'!R181</f>
        <v>5</v>
      </c>
      <c r="E25" s="98">
        <f t="shared" si="0"/>
        <v>15000000</v>
      </c>
      <c r="F25" s="98">
        <f t="shared" si="1"/>
        <v>75000</v>
      </c>
      <c r="G25" s="39"/>
      <c r="H25" s="199"/>
      <c r="I25" s="39"/>
      <c r="J25" s="107" t="s">
        <v>197</v>
      </c>
      <c r="K25" s="108" t="s">
        <v>92</v>
      </c>
      <c r="L25" s="109">
        <v>2000</v>
      </c>
      <c r="M25" s="110">
        <f>2000*0.5</f>
        <v>1000</v>
      </c>
      <c r="N25" s="98">
        <f t="shared" ref="N25:N30" si="2">L25*M25</f>
        <v>2000000</v>
      </c>
      <c r="O25" s="98">
        <f t="shared" ref="O25:O30" si="3">N25/200</f>
        <v>10000</v>
      </c>
      <c r="P25" s="200"/>
    </row>
    <row r="26" spans="1:16">
      <c r="A26" s="112" t="s">
        <v>202</v>
      </c>
      <c r="B26" s="108" t="s">
        <v>24</v>
      </c>
      <c r="C26" s="109">
        <v>3000000</v>
      </c>
      <c r="D26" s="108">
        <f>'Assamo Marchés'!R182</f>
        <v>5</v>
      </c>
      <c r="E26" s="98">
        <f t="shared" si="0"/>
        <v>15000000</v>
      </c>
      <c r="F26" s="98">
        <f t="shared" si="1"/>
        <v>75000</v>
      </c>
      <c r="G26" s="39"/>
      <c r="H26" s="199"/>
      <c r="I26" s="39"/>
      <c r="J26" s="107" t="s">
        <v>177</v>
      </c>
      <c r="K26" s="108" t="s">
        <v>17</v>
      </c>
      <c r="L26" s="109">
        <v>25000</v>
      </c>
      <c r="M26" s="110">
        <v>1120</v>
      </c>
      <c r="N26" s="98">
        <f t="shared" si="2"/>
        <v>28000000</v>
      </c>
      <c r="O26" s="98">
        <f t="shared" si="3"/>
        <v>140000</v>
      </c>
      <c r="P26" s="200"/>
    </row>
    <row r="27" spans="1:16">
      <c r="A27" s="112" t="s">
        <v>200</v>
      </c>
      <c r="B27" s="108" t="s">
        <v>24</v>
      </c>
      <c r="C27" s="109">
        <v>800000</v>
      </c>
      <c r="D27" s="108">
        <f>'Assamo Marchés'!R180</f>
        <v>16</v>
      </c>
      <c r="E27" s="98">
        <f t="shared" si="0"/>
        <v>12800000</v>
      </c>
      <c r="F27" s="98">
        <f t="shared" si="1"/>
        <v>64000</v>
      </c>
      <c r="G27" s="39"/>
      <c r="H27" s="199"/>
      <c r="I27" s="39"/>
      <c r="J27" s="107" t="s">
        <v>196</v>
      </c>
      <c r="K27" s="108" t="s">
        <v>17</v>
      </c>
      <c r="L27" s="109">
        <v>25000</v>
      </c>
      <c r="M27" s="110">
        <v>280</v>
      </c>
      <c r="N27" s="98">
        <f t="shared" si="2"/>
        <v>7000000</v>
      </c>
      <c r="O27" s="98">
        <f t="shared" si="3"/>
        <v>35000</v>
      </c>
      <c r="P27" s="200"/>
    </row>
    <row r="28" spans="1:16">
      <c r="A28" s="347" t="s">
        <v>30</v>
      </c>
      <c r="B28" s="348"/>
      <c r="C28" s="348"/>
      <c r="D28" s="349"/>
      <c r="E28" s="111">
        <f>SUM(E17:E27)</f>
        <v>392102500</v>
      </c>
      <c r="F28" s="111">
        <f>SUM(F17:F27)</f>
        <v>1960512.5</v>
      </c>
      <c r="G28" s="39"/>
      <c r="H28" s="199"/>
      <c r="I28" s="39"/>
      <c r="J28" s="107" t="s">
        <v>179</v>
      </c>
      <c r="K28" s="108" t="s">
        <v>17</v>
      </c>
      <c r="L28" s="109">
        <v>45000</v>
      </c>
      <c r="M28" s="110">
        <v>80</v>
      </c>
      <c r="N28" s="98">
        <f t="shared" si="2"/>
        <v>3600000</v>
      </c>
      <c r="O28" s="98">
        <f t="shared" si="3"/>
        <v>18000</v>
      </c>
      <c r="P28" s="200"/>
    </row>
    <row r="29" spans="1:16" ht="30">
      <c r="A29" s="353" t="s">
        <v>137</v>
      </c>
      <c r="B29" s="354"/>
      <c r="C29" s="354"/>
      <c r="D29" s="354"/>
      <c r="E29" s="354"/>
      <c r="F29" s="355"/>
      <c r="G29" s="39"/>
      <c r="H29" s="199"/>
      <c r="I29" s="39"/>
      <c r="J29" s="112" t="s">
        <v>182</v>
      </c>
      <c r="K29" s="108" t="s">
        <v>17</v>
      </c>
      <c r="L29" s="109">
        <v>65000</v>
      </c>
      <c r="M29" s="108">
        <v>200</v>
      </c>
      <c r="N29" s="98">
        <f t="shared" si="2"/>
        <v>13000000</v>
      </c>
      <c r="O29" s="98">
        <f t="shared" si="3"/>
        <v>65000</v>
      </c>
      <c r="P29" s="200"/>
    </row>
    <row r="30" spans="1:16" ht="42.75" customHeight="1">
      <c r="A30" s="112" t="s">
        <v>135</v>
      </c>
      <c r="B30" s="108" t="s">
        <v>17</v>
      </c>
      <c r="C30" s="109">
        <v>15000</v>
      </c>
      <c r="D30" s="110">
        <v>1800</v>
      </c>
      <c r="E30" s="111">
        <f>C30*D30</f>
        <v>27000000</v>
      </c>
      <c r="F30" s="111">
        <f>E30/200</f>
        <v>135000</v>
      </c>
      <c r="G30" s="39"/>
      <c r="H30" s="199"/>
      <c r="I30" s="39"/>
      <c r="J30" s="112" t="s">
        <v>180</v>
      </c>
      <c r="K30" s="108" t="s">
        <v>24</v>
      </c>
      <c r="L30" s="109">
        <v>750000</v>
      </c>
      <c r="M30" s="108">
        <v>8</v>
      </c>
      <c r="N30" s="98">
        <f t="shared" si="2"/>
        <v>6000000</v>
      </c>
      <c r="O30" s="98">
        <f t="shared" si="3"/>
        <v>30000</v>
      </c>
      <c r="P30" s="200"/>
    </row>
    <row r="31" spans="1:16">
      <c r="A31" s="190" t="s">
        <v>101</v>
      </c>
      <c r="B31" s="191"/>
      <c r="C31" s="191"/>
      <c r="D31" s="191"/>
      <c r="E31" s="191"/>
      <c r="F31" s="192"/>
      <c r="G31" s="39"/>
      <c r="H31" s="199"/>
      <c r="I31" s="39"/>
      <c r="J31" s="112" t="s">
        <v>195</v>
      </c>
      <c r="K31" s="108" t="s">
        <v>24</v>
      </c>
      <c r="L31" s="109">
        <v>11000000</v>
      </c>
      <c r="M31" s="108">
        <v>1</v>
      </c>
      <c r="N31" s="98">
        <v>11000000</v>
      </c>
      <c r="O31" s="98">
        <v>55000</v>
      </c>
      <c r="P31" s="200"/>
    </row>
    <row r="32" spans="1:16" ht="15.75" customHeight="1">
      <c r="A32" s="112" t="s">
        <v>134</v>
      </c>
      <c r="B32" s="108" t="s">
        <v>17</v>
      </c>
      <c r="C32" s="109">
        <v>25000</v>
      </c>
      <c r="D32" s="110">
        <v>4500</v>
      </c>
      <c r="E32" s="111">
        <f>C32*D32</f>
        <v>112500000</v>
      </c>
      <c r="F32" s="111">
        <f>E32/200</f>
        <v>562500</v>
      </c>
      <c r="G32" s="39"/>
      <c r="H32" s="199"/>
      <c r="I32" s="39"/>
      <c r="J32" s="347" t="s">
        <v>71</v>
      </c>
      <c r="K32" s="348"/>
      <c r="L32" s="348"/>
      <c r="M32" s="349"/>
      <c r="N32" s="111">
        <f>SUM(N26:N30)</f>
        <v>57600000</v>
      </c>
      <c r="O32" s="111">
        <f>SUM(O26:O30)</f>
        <v>288000</v>
      </c>
      <c r="P32" s="200"/>
    </row>
    <row r="33" spans="1:16" s="13" customFormat="1" ht="21">
      <c r="A33" s="356" t="s">
        <v>214</v>
      </c>
      <c r="B33" s="357"/>
      <c r="C33" s="357"/>
      <c r="D33" s="358"/>
      <c r="E33" s="189">
        <f>SUM(E32,E30,E28,E15)</f>
        <v>725972500</v>
      </c>
      <c r="F33" s="189">
        <f>SUM(F32,F30,F28,F15)</f>
        <v>3629862.5</v>
      </c>
      <c r="G33" s="39"/>
      <c r="H33" s="199"/>
      <c r="I33" s="39"/>
      <c r="J33" s="84" t="s">
        <v>130</v>
      </c>
      <c r="K33" s="85"/>
      <c r="L33" s="85"/>
      <c r="M33" s="85"/>
      <c r="N33" s="85"/>
      <c r="O33" s="86"/>
      <c r="P33" s="200"/>
    </row>
    <row r="34" spans="1:16" s="13" customFormat="1">
      <c r="A34" s="190" t="s">
        <v>98</v>
      </c>
      <c r="B34" s="191"/>
      <c r="C34" s="191"/>
      <c r="D34" s="191"/>
      <c r="E34" s="191"/>
      <c r="F34" s="192"/>
      <c r="G34" s="338" t="s">
        <v>186</v>
      </c>
      <c r="H34" s="339"/>
      <c r="I34" s="339"/>
      <c r="J34" s="112" t="s">
        <v>129</v>
      </c>
      <c r="K34" s="108" t="s">
        <v>17</v>
      </c>
      <c r="L34" s="109">
        <v>120000</v>
      </c>
      <c r="M34" s="110">
        <v>400</v>
      </c>
      <c r="N34" s="111">
        <f>L34*M34</f>
        <v>48000000</v>
      </c>
      <c r="O34" s="111">
        <f>N34/200</f>
        <v>240000</v>
      </c>
      <c r="P34" s="200"/>
    </row>
    <row r="35" spans="1:16" ht="15.75" customHeight="1">
      <c r="A35" s="186" t="s">
        <v>138</v>
      </c>
      <c r="B35" s="175" t="s">
        <v>24</v>
      </c>
      <c r="C35" s="185">
        <v>80000000</v>
      </c>
      <c r="D35" s="175">
        <v>1</v>
      </c>
      <c r="E35" s="176">
        <f>C35*D35</f>
        <v>80000000</v>
      </c>
      <c r="F35" s="176">
        <f>E35/200</f>
        <v>400000</v>
      </c>
      <c r="G35" s="338"/>
      <c r="H35" s="339"/>
      <c r="I35" s="339"/>
      <c r="J35" s="280" t="s">
        <v>63</v>
      </c>
      <c r="K35" s="281"/>
      <c r="L35" s="281"/>
      <c r="M35" s="281"/>
      <c r="N35" s="281"/>
      <c r="O35" s="282"/>
      <c r="P35" s="362"/>
    </row>
    <row r="36" spans="1:16">
      <c r="A36" s="190" t="s">
        <v>99</v>
      </c>
      <c r="B36" s="191"/>
      <c r="C36" s="191"/>
      <c r="D36" s="191"/>
      <c r="E36" s="191"/>
      <c r="F36" s="192"/>
      <c r="G36" s="338" t="s">
        <v>186</v>
      </c>
      <c r="H36" s="339"/>
      <c r="I36" s="339"/>
      <c r="J36" s="107" t="s">
        <v>62</v>
      </c>
      <c r="K36" s="108" t="s">
        <v>17</v>
      </c>
      <c r="L36" s="109">
        <v>15000</v>
      </c>
      <c r="M36" s="110">
        <v>500</v>
      </c>
      <c r="N36" s="98">
        <f>L36*M36</f>
        <v>7500000</v>
      </c>
      <c r="O36" s="98">
        <f>N36/200</f>
        <v>37500</v>
      </c>
      <c r="P36" s="362"/>
    </row>
    <row r="37" spans="1:16" ht="15.75" customHeight="1">
      <c r="A37" s="186" t="s">
        <v>133</v>
      </c>
      <c r="B37" s="175" t="s">
        <v>24</v>
      </c>
      <c r="C37" s="185">
        <v>120000</v>
      </c>
      <c r="D37" s="175">
        <v>800</v>
      </c>
      <c r="E37" s="176">
        <f>D37*C37</f>
        <v>96000000</v>
      </c>
      <c r="F37" s="187">
        <f>E37/200</f>
        <v>480000</v>
      </c>
      <c r="G37" s="338"/>
      <c r="H37" s="339"/>
      <c r="I37" s="339"/>
      <c r="J37" s="107" t="s">
        <v>65</v>
      </c>
      <c r="K37" s="108" t="s">
        <v>17</v>
      </c>
      <c r="L37" s="109">
        <v>65000</v>
      </c>
      <c r="M37" s="108">
        <v>120</v>
      </c>
      <c r="N37" s="98">
        <f>L37*M37</f>
        <v>7800000</v>
      </c>
      <c r="O37" s="98">
        <f>N37/200</f>
        <v>39000</v>
      </c>
      <c r="P37" s="362"/>
    </row>
    <row r="38" spans="1:16" ht="15.75" customHeight="1">
      <c r="A38" s="190" t="s">
        <v>100</v>
      </c>
      <c r="B38" s="191"/>
      <c r="C38" s="191"/>
      <c r="D38" s="191"/>
      <c r="E38" s="191"/>
      <c r="F38" s="192"/>
      <c r="G38" s="338" t="s">
        <v>186</v>
      </c>
      <c r="H38" s="339"/>
      <c r="I38" s="339"/>
      <c r="J38" s="363" t="s">
        <v>131</v>
      </c>
      <c r="K38" s="363"/>
      <c r="L38" s="363"/>
      <c r="M38" s="363"/>
      <c r="N38" s="111">
        <f>SUM(N36:N37)</f>
        <v>15300000</v>
      </c>
      <c r="O38" s="111">
        <f>SUM(O36:O37)</f>
        <v>76500</v>
      </c>
      <c r="P38" s="362"/>
    </row>
    <row r="39" spans="1:16" ht="15.75" customHeight="1">
      <c r="A39" s="186" t="s">
        <v>83</v>
      </c>
      <c r="B39" s="175" t="s">
        <v>17</v>
      </c>
      <c r="C39" s="185">
        <v>120000</v>
      </c>
      <c r="D39" s="175">
        <v>400</v>
      </c>
      <c r="E39" s="174">
        <f>C39*D39</f>
        <v>48000000</v>
      </c>
      <c r="F39" s="174">
        <f>E39/200</f>
        <v>240000</v>
      </c>
      <c r="G39" s="338"/>
      <c r="H39" s="339"/>
      <c r="I39" s="339"/>
      <c r="J39" s="13"/>
      <c r="K39" s="13"/>
      <c r="L39" s="13"/>
      <c r="M39" s="13"/>
      <c r="N39" s="13"/>
      <c r="O39" s="13"/>
      <c r="P39" s="200"/>
    </row>
    <row r="40" spans="1:16" ht="21">
      <c r="A40" s="186" t="s">
        <v>85</v>
      </c>
      <c r="B40" s="173" t="s">
        <v>17</v>
      </c>
      <c r="C40" s="185">
        <v>25000</v>
      </c>
      <c r="D40" s="188">
        <v>800</v>
      </c>
      <c r="E40" s="174">
        <f>C40*D40</f>
        <v>20000000</v>
      </c>
      <c r="F40" s="174">
        <f>E40/200</f>
        <v>100000</v>
      </c>
      <c r="G40" s="338"/>
      <c r="H40" s="339"/>
      <c r="I40" s="339"/>
      <c r="J40" s="350" t="s">
        <v>39</v>
      </c>
      <c r="K40" s="351"/>
      <c r="L40" s="351"/>
      <c r="M40" s="352"/>
      <c r="N40" s="44">
        <f>SUM(N38,N34,N32,N23,N18,N15,N13)</f>
        <v>398855000</v>
      </c>
      <c r="O40" s="44">
        <f>SUM(O38,O34,O32,O23,O18,O15,O13)</f>
        <v>1994275</v>
      </c>
      <c r="P40" s="200"/>
    </row>
    <row r="41" spans="1:16">
      <c r="A41" s="359" t="s">
        <v>59</v>
      </c>
      <c r="B41" s="360"/>
      <c r="C41" s="360"/>
      <c r="D41" s="361"/>
      <c r="E41" s="176">
        <f>SUM(E39:E40)</f>
        <v>68000000</v>
      </c>
      <c r="F41" s="176">
        <f>SUM(F39:F40)</f>
        <v>340000</v>
      </c>
      <c r="G41" s="338"/>
      <c r="H41" s="339"/>
      <c r="I41" s="339"/>
      <c r="J41" s="39"/>
      <c r="K41" s="39"/>
      <c r="L41" s="39"/>
      <c r="M41" s="39"/>
      <c r="N41" s="39"/>
      <c r="O41" s="39"/>
      <c r="P41" s="200"/>
    </row>
    <row r="42" spans="1:16" ht="21">
      <c r="A42" s="356" t="s">
        <v>215</v>
      </c>
      <c r="B42" s="357"/>
      <c r="C42" s="357"/>
      <c r="D42" s="358"/>
      <c r="E42" s="189">
        <f>SUM(E41,E37,E35)</f>
        <v>244000000</v>
      </c>
      <c r="F42" s="189">
        <f>SUM(F41,F37,F35)</f>
        <v>1220000</v>
      </c>
      <c r="G42" s="39"/>
      <c r="H42" s="199"/>
      <c r="I42" s="39"/>
      <c r="J42" s="39"/>
      <c r="K42" s="39"/>
      <c r="L42" s="39"/>
      <c r="M42" s="39"/>
      <c r="N42" s="39"/>
      <c r="O42" s="39"/>
      <c r="P42" s="200"/>
    </row>
    <row r="43" spans="1:16">
      <c r="A43" s="203"/>
      <c r="B43" s="195"/>
      <c r="C43" s="195"/>
      <c r="D43" s="195"/>
      <c r="E43" s="80"/>
      <c r="F43" s="80"/>
      <c r="G43" s="39"/>
      <c r="H43" s="199"/>
      <c r="I43" s="39"/>
      <c r="J43" s="39"/>
      <c r="K43" s="39"/>
      <c r="L43" s="39"/>
      <c r="M43" s="39"/>
      <c r="N43" s="39"/>
      <c r="O43" s="39"/>
      <c r="P43" s="200"/>
    </row>
    <row r="44" spans="1:16" ht="21">
      <c r="A44" s="350" t="s">
        <v>175</v>
      </c>
      <c r="B44" s="351"/>
      <c r="C44" s="351"/>
      <c r="D44" s="352"/>
      <c r="E44" s="44">
        <f>SUM(E42:E43,E39,E37)</f>
        <v>388000000</v>
      </c>
      <c r="F44" s="44">
        <f>SUM(F33,F42)</f>
        <v>4849862.5</v>
      </c>
      <c r="G44" s="39"/>
      <c r="H44" s="199"/>
      <c r="I44" s="39"/>
      <c r="J44" s="39"/>
      <c r="K44" s="39"/>
      <c r="L44" s="39"/>
      <c r="M44" s="39"/>
      <c r="N44" s="39"/>
      <c r="O44" s="39"/>
      <c r="P44" s="200"/>
    </row>
    <row r="45" spans="1:16">
      <c r="A45" s="203"/>
      <c r="B45" s="195"/>
      <c r="C45" s="195"/>
      <c r="D45" s="195"/>
      <c r="E45" s="80"/>
      <c r="F45" s="80"/>
      <c r="G45" s="39"/>
      <c r="H45" s="199"/>
      <c r="I45" s="39"/>
      <c r="J45" s="39"/>
      <c r="K45" s="39"/>
      <c r="L45" s="39"/>
      <c r="M45" s="39"/>
      <c r="N45" s="39"/>
      <c r="O45" s="39"/>
      <c r="P45" s="200"/>
    </row>
    <row r="46" spans="1:16">
      <c r="A46" s="202"/>
      <c r="B46" s="39"/>
      <c r="C46" s="39"/>
      <c r="D46" s="39"/>
      <c r="E46" s="39"/>
      <c r="F46" s="39"/>
      <c r="G46" s="39"/>
      <c r="H46" s="199"/>
      <c r="I46" s="39"/>
      <c r="J46" s="39"/>
      <c r="K46" s="39"/>
      <c r="L46" s="39"/>
      <c r="M46" s="39"/>
      <c r="N46" s="39"/>
      <c r="O46" s="39"/>
      <c r="P46" s="200"/>
    </row>
    <row r="47" spans="1:16" ht="48" customHeight="1">
      <c r="A47" s="367" t="s">
        <v>216</v>
      </c>
      <c r="B47" s="340"/>
      <c r="C47" s="340"/>
      <c r="D47" s="341"/>
      <c r="E47" s="342" t="s">
        <v>9</v>
      </c>
      <c r="F47" s="343"/>
      <c r="G47" s="39"/>
      <c r="H47" s="199"/>
      <c r="I47" s="39"/>
      <c r="J47" s="340" t="s">
        <v>217</v>
      </c>
      <c r="K47" s="340"/>
      <c r="L47" s="340"/>
      <c r="M47" s="341"/>
      <c r="N47" s="342" t="s">
        <v>9</v>
      </c>
      <c r="O47" s="343"/>
      <c r="P47" s="200"/>
    </row>
    <row r="48" spans="1:16">
      <c r="A48" s="140" t="s">
        <v>2</v>
      </c>
      <c r="B48" s="140" t="s">
        <v>3</v>
      </c>
      <c r="C48" s="140" t="s">
        <v>4</v>
      </c>
      <c r="D48" s="140" t="s">
        <v>0</v>
      </c>
      <c r="E48" s="140" t="s">
        <v>10</v>
      </c>
      <c r="F48" s="140" t="s">
        <v>8</v>
      </c>
      <c r="G48" s="39"/>
      <c r="H48" s="199"/>
      <c r="I48" s="39"/>
      <c r="J48" s="140" t="s">
        <v>2</v>
      </c>
      <c r="K48" s="140" t="s">
        <v>3</v>
      </c>
      <c r="L48" s="140" t="s">
        <v>4</v>
      </c>
      <c r="M48" s="140" t="s">
        <v>0</v>
      </c>
      <c r="N48" s="140" t="s">
        <v>10</v>
      </c>
      <c r="O48" s="140" t="s">
        <v>8</v>
      </c>
      <c r="P48" s="200"/>
    </row>
    <row r="49" spans="1:16">
      <c r="A49" s="344" t="s">
        <v>95</v>
      </c>
      <c r="B49" s="345"/>
      <c r="C49" s="345"/>
      <c r="D49" s="345"/>
      <c r="E49" s="345"/>
      <c r="F49" s="346"/>
      <c r="G49" s="39"/>
      <c r="H49" s="199"/>
      <c r="I49" s="39"/>
      <c r="J49" s="344" t="s">
        <v>95</v>
      </c>
      <c r="K49" s="345"/>
      <c r="L49" s="345"/>
      <c r="M49" s="345"/>
      <c r="N49" s="345"/>
      <c r="O49" s="346"/>
      <c r="P49" s="200"/>
    </row>
    <row r="50" spans="1:16">
      <c r="A50" s="113" t="s">
        <v>44</v>
      </c>
      <c r="B50" s="108"/>
      <c r="C50" s="114"/>
      <c r="D50" s="109"/>
      <c r="E50" s="114"/>
      <c r="F50" s="114"/>
      <c r="G50" s="39"/>
      <c r="H50" s="199"/>
      <c r="I50" s="39"/>
      <c r="J50" s="113" t="s">
        <v>48</v>
      </c>
      <c r="K50" s="144"/>
      <c r="L50" s="114"/>
      <c r="M50" s="109"/>
      <c r="N50" s="98"/>
      <c r="O50" s="98"/>
      <c r="P50" s="200"/>
    </row>
    <row r="51" spans="1:16">
      <c r="A51" s="107" t="s">
        <v>45</v>
      </c>
      <c r="B51" s="108" t="s">
        <v>5</v>
      </c>
      <c r="C51" s="98">
        <v>141000</v>
      </c>
      <c r="D51" s="110">
        <v>590</v>
      </c>
      <c r="E51" s="98">
        <f>C51*D51</f>
        <v>83190000</v>
      </c>
      <c r="F51" s="98">
        <f>E51/200</f>
        <v>415950</v>
      </c>
      <c r="G51" s="39"/>
      <c r="H51" s="199"/>
      <c r="I51" s="39"/>
      <c r="J51" s="107" t="s">
        <v>45</v>
      </c>
      <c r="K51" s="108" t="s">
        <v>5</v>
      </c>
      <c r="L51" s="98">
        <v>141000</v>
      </c>
      <c r="M51" s="110">
        <v>850</v>
      </c>
      <c r="N51" s="98">
        <f>L51*M51</f>
        <v>119850000</v>
      </c>
      <c r="O51" s="98">
        <f>N51/200</f>
        <v>599250</v>
      </c>
      <c r="P51" s="200"/>
    </row>
    <row r="52" spans="1:16" ht="30">
      <c r="A52" s="112" t="s">
        <v>218</v>
      </c>
      <c r="B52" s="108" t="s">
        <v>5</v>
      </c>
      <c r="C52" s="109">
        <v>60000</v>
      </c>
      <c r="D52" s="110">
        <v>420</v>
      </c>
      <c r="E52" s="98">
        <f>C52*D52</f>
        <v>25200000</v>
      </c>
      <c r="F52" s="98">
        <f>E52/200</f>
        <v>126000</v>
      </c>
      <c r="G52" s="39"/>
      <c r="H52" s="199"/>
      <c r="I52" s="39"/>
      <c r="J52" s="172" t="s">
        <v>187</v>
      </c>
      <c r="K52" s="173"/>
      <c r="L52" s="174"/>
      <c r="M52" s="175"/>
      <c r="N52" s="176"/>
      <c r="O52" s="176"/>
      <c r="P52" s="200"/>
    </row>
    <row r="53" spans="1:16" ht="21">
      <c r="A53" s="347" t="s">
        <v>29</v>
      </c>
      <c r="B53" s="348"/>
      <c r="C53" s="348"/>
      <c r="D53" s="349"/>
      <c r="E53" s="111">
        <f>SUM(E50:E52)</f>
        <v>108390000</v>
      </c>
      <c r="F53" s="111">
        <f>SUM(F50:F52)</f>
        <v>541950</v>
      </c>
      <c r="G53" s="39"/>
      <c r="H53" s="199"/>
      <c r="I53" s="39"/>
      <c r="J53" s="326" t="s">
        <v>176</v>
      </c>
      <c r="K53" s="327"/>
      <c r="L53" s="327"/>
      <c r="M53" s="328"/>
      <c r="N53" s="145">
        <f>SUM(N51:N52)</f>
        <v>119850000</v>
      </c>
      <c r="O53" s="145">
        <f>SUM(O51:O52)</f>
        <v>599250</v>
      </c>
      <c r="P53" s="200"/>
    </row>
    <row r="54" spans="1:16">
      <c r="A54" s="344" t="s">
        <v>139</v>
      </c>
      <c r="B54" s="345"/>
      <c r="C54" s="345"/>
      <c r="D54" s="345"/>
      <c r="E54" s="345"/>
      <c r="F54" s="346"/>
      <c r="G54" s="39"/>
      <c r="H54" s="199"/>
      <c r="I54" s="39"/>
      <c r="J54" s="39"/>
      <c r="K54" s="39"/>
      <c r="L54" s="39"/>
      <c r="M54" s="39"/>
      <c r="N54" s="39"/>
      <c r="O54" s="39"/>
      <c r="P54" s="200"/>
    </row>
    <row r="55" spans="1:16">
      <c r="A55" s="178" t="s">
        <v>198</v>
      </c>
      <c r="B55" s="108" t="s">
        <v>92</v>
      </c>
      <c r="C55" s="109">
        <v>2000</v>
      </c>
      <c r="D55" s="110">
        <f>'Assamo Marchés'!R277*0.5</f>
        <v>2100</v>
      </c>
      <c r="E55" s="98">
        <f>D55*C55</f>
        <v>4200000</v>
      </c>
      <c r="F55" s="98">
        <f>E55/200</f>
        <v>21000</v>
      </c>
      <c r="G55" s="39"/>
      <c r="H55" s="199"/>
      <c r="I55" s="39"/>
      <c r="J55" s="39"/>
      <c r="K55" s="39"/>
      <c r="L55" s="39"/>
      <c r="M55" s="39"/>
      <c r="N55" s="39"/>
      <c r="O55" s="39"/>
      <c r="P55" s="200"/>
    </row>
    <row r="56" spans="1:16" ht="30">
      <c r="A56" s="112" t="s">
        <v>203</v>
      </c>
      <c r="B56" s="108" t="s">
        <v>17</v>
      </c>
      <c r="C56" s="109">
        <v>25000</v>
      </c>
      <c r="D56" s="110">
        <f>'Assamo Marchés'!R278+'Assamo Marchés'!R279+'Assamo Marchés'!R280+'Assamo Marchés'!R281</f>
        <v>1603</v>
      </c>
      <c r="E56" s="98">
        <f t="shared" ref="E56:E65" si="4">D56*C56</f>
        <v>40075000</v>
      </c>
      <c r="F56" s="98">
        <f t="shared" ref="F56:F65" si="5">E56/200</f>
        <v>200375</v>
      </c>
      <c r="G56" s="39"/>
      <c r="H56" s="199"/>
      <c r="I56" s="39"/>
      <c r="J56" s="39"/>
      <c r="K56" s="39"/>
      <c r="L56" s="39"/>
      <c r="M56" s="39"/>
      <c r="N56" s="39"/>
      <c r="O56" s="39"/>
      <c r="P56" s="200"/>
    </row>
    <row r="57" spans="1:16">
      <c r="A57" s="112" t="s">
        <v>199</v>
      </c>
      <c r="B57" s="108" t="s">
        <v>17</v>
      </c>
      <c r="C57" s="109">
        <v>21000</v>
      </c>
      <c r="D57" s="110">
        <f>'Assamo Marchés'!R282</f>
        <v>2615</v>
      </c>
      <c r="E57" s="98">
        <f t="shared" si="4"/>
        <v>54915000</v>
      </c>
      <c r="F57" s="98">
        <f t="shared" si="5"/>
        <v>274575</v>
      </c>
      <c r="G57" s="39"/>
      <c r="H57" s="199"/>
      <c r="I57" s="39"/>
      <c r="J57" s="39"/>
      <c r="K57" s="39"/>
      <c r="L57" s="39"/>
      <c r="M57" s="39"/>
      <c r="N57" s="39"/>
      <c r="O57" s="39"/>
      <c r="P57" s="200"/>
    </row>
    <row r="58" spans="1:16">
      <c r="A58" s="112" t="s">
        <v>172</v>
      </c>
      <c r="B58" s="108" t="s">
        <v>17</v>
      </c>
      <c r="C58" s="109">
        <v>65000</v>
      </c>
      <c r="D58" s="108">
        <f>'Assamo Marchés'!R280</f>
        <v>218</v>
      </c>
      <c r="E58" s="98">
        <f t="shared" si="4"/>
        <v>14170000</v>
      </c>
      <c r="F58" s="98">
        <f t="shared" si="5"/>
        <v>70850</v>
      </c>
      <c r="G58" s="39"/>
      <c r="H58" s="199"/>
      <c r="I58" s="39"/>
      <c r="J58" s="39"/>
      <c r="K58" s="39"/>
      <c r="L58" s="39"/>
      <c r="M58" s="39"/>
      <c r="N58" s="39"/>
      <c r="O58" s="39"/>
      <c r="P58" s="200"/>
    </row>
    <row r="59" spans="1:16">
      <c r="A59" s="112" t="s">
        <v>171</v>
      </c>
      <c r="B59" s="108" t="s">
        <v>17</v>
      </c>
      <c r="C59" s="109">
        <v>65000</v>
      </c>
      <c r="D59" s="108">
        <f>'Assamo Marchés'!R278</f>
        <v>725</v>
      </c>
      <c r="E59" s="98">
        <f t="shared" si="4"/>
        <v>47125000</v>
      </c>
      <c r="F59" s="98">
        <f t="shared" si="5"/>
        <v>235625</v>
      </c>
      <c r="G59" s="39"/>
      <c r="H59" s="199"/>
      <c r="I59" s="39"/>
      <c r="J59" s="39"/>
      <c r="K59" s="39"/>
      <c r="L59" s="39"/>
      <c r="M59" s="39"/>
      <c r="N59" s="39"/>
      <c r="O59" s="39"/>
      <c r="P59" s="200"/>
    </row>
    <row r="60" spans="1:16">
      <c r="A60" s="107" t="s">
        <v>173</v>
      </c>
      <c r="B60" s="108" t="s">
        <v>17</v>
      </c>
      <c r="C60" s="109">
        <v>45000</v>
      </c>
      <c r="D60" s="110">
        <f>'Assamo Marchés'!R279</f>
        <v>260</v>
      </c>
      <c r="E60" s="98">
        <f t="shared" si="4"/>
        <v>11700000</v>
      </c>
      <c r="F60" s="98">
        <f t="shared" si="5"/>
        <v>58500</v>
      </c>
      <c r="G60" s="39"/>
      <c r="H60" s="199"/>
      <c r="I60" s="39"/>
      <c r="J60" s="39"/>
      <c r="K60" s="39"/>
      <c r="L60" s="39"/>
      <c r="M60" s="39"/>
      <c r="N60" s="39"/>
      <c r="O60" s="39"/>
      <c r="P60" s="200"/>
    </row>
    <row r="61" spans="1:16">
      <c r="A61" s="112" t="s">
        <v>67</v>
      </c>
      <c r="B61" s="108" t="s">
        <v>24</v>
      </c>
      <c r="C61" s="109">
        <v>750000</v>
      </c>
      <c r="D61" s="108">
        <f>'Assamo Marchés'!R286</f>
        <v>8</v>
      </c>
      <c r="E61" s="98">
        <f t="shared" si="4"/>
        <v>6000000</v>
      </c>
      <c r="F61" s="98">
        <f t="shared" si="5"/>
        <v>30000</v>
      </c>
      <c r="G61" s="39"/>
      <c r="H61" s="199"/>
      <c r="I61" s="39"/>
      <c r="J61" s="39"/>
      <c r="K61" s="39"/>
      <c r="L61" s="39"/>
      <c r="M61" s="39"/>
      <c r="N61" s="39"/>
      <c r="O61" s="39"/>
      <c r="P61" s="200"/>
    </row>
    <row r="62" spans="1:16">
      <c r="A62" s="112" t="s">
        <v>73</v>
      </c>
      <c r="B62" s="108" t="s">
        <v>24</v>
      </c>
      <c r="C62" s="109">
        <v>2000000</v>
      </c>
      <c r="D62" s="108">
        <f>'Assamo Marchés'!R287</f>
        <v>2</v>
      </c>
      <c r="E62" s="98">
        <f t="shared" si="4"/>
        <v>4000000</v>
      </c>
      <c r="F62" s="98">
        <f t="shared" si="5"/>
        <v>20000</v>
      </c>
      <c r="G62" s="39"/>
      <c r="H62" s="199"/>
      <c r="I62" s="39"/>
      <c r="J62" s="39"/>
      <c r="K62" s="39"/>
      <c r="L62" s="39"/>
      <c r="M62" s="39"/>
      <c r="N62" s="39"/>
      <c r="O62" s="39"/>
      <c r="P62" s="200"/>
    </row>
    <row r="63" spans="1:16">
      <c r="A63" s="112" t="s">
        <v>201</v>
      </c>
      <c r="B63" s="108" t="s">
        <v>24</v>
      </c>
      <c r="C63" s="109">
        <v>3000000</v>
      </c>
      <c r="D63" s="108">
        <f>'Assamo Marchés'!R284</f>
        <v>3</v>
      </c>
      <c r="E63" s="98">
        <f t="shared" si="4"/>
        <v>9000000</v>
      </c>
      <c r="F63" s="98">
        <f t="shared" si="5"/>
        <v>45000</v>
      </c>
      <c r="G63" s="39"/>
      <c r="H63" s="199"/>
      <c r="I63" s="39"/>
      <c r="J63" s="39"/>
      <c r="K63" s="39"/>
      <c r="L63" s="39"/>
      <c r="M63" s="39"/>
      <c r="N63" s="39"/>
      <c r="O63" s="39"/>
      <c r="P63" s="200"/>
    </row>
    <row r="64" spans="1:16">
      <c r="A64" s="112" t="s">
        <v>202</v>
      </c>
      <c r="B64" s="108" t="s">
        <v>24</v>
      </c>
      <c r="C64" s="109">
        <v>3000000</v>
      </c>
      <c r="D64" s="108">
        <f>'Assamo Marchés'!R285</f>
        <v>3</v>
      </c>
      <c r="E64" s="98">
        <f t="shared" si="4"/>
        <v>9000000</v>
      </c>
      <c r="F64" s="98">
        <f t="shared" si="5"/>
        <v>45000</v>
      </c>
      <c r="G64" s="39"/>
      <c r="H64" s="199"/>
      <c r="I64" s="39"/>
      <c r="J64" s="39"/>
      <c r="K64" s="39"/>
      <c r="L64" s="39"/>
      <c r="M64" s="39"/>
      <c r="N64" s="39"/>
      <c r="O64" s="39"/>
      <c r="P64" s="200"/>
    </row>
    <row r="65" spans="1:16">
      <c r="A65" s="112" t="s">
        <v>200</v>
      </c>
      <c r="B65" s="108" t="s">
        <v>24</v>
      </c>
      <c r="C65" s="109">
        <v>800000</v>
      </c>
      <c r="D65" s="108">
        <f>'Assamo Marchés'!R283</f>
        <v>10</v>
      </c>
      <c r="E65" s="98">
        <f t="shared" si="4"/>
        <v>8000000</v>
      </c>
      <c r="F65" s="98">
        <f t="shared" si="5"/>
        <v>40000</v>
      </c>
      <c r="G65" s="39"/>
      <c r="H65" s="199"/>
      <c r="I65" s="39"/>
      <c r="J65" s="39"/>
      <c r="K65" s="39"/>
      <c r="L65" s="39"/>
      <c r="M65" s="39"/>
      <c r="N65" s="39"/>
      <c r="O65" s="39"/>
      <c r="P65" s="200"/>
    </row>
    <row r="66" spans="1:16">
      <c r="A66" s="347" t="s">
        <v>30</v>
      </c>
      <c r="B66" s="348"/>
      <c r="C66" s="348"/>
      <c r="D66" s="349"/>
      <c r="E66" s="111">
        <f>SUM(E55:E65)</f>
        <v>208185000</v>
      </c>
      <c r="F66" s="111">
        <f>SUM(F55:F65)</f>
        <v>1040925</v>
      </c>
      <c r="G66" s="39"/>
      <c r="H66" s="199"/>
      <c r="I66" s="39"/>
      <c r="J66" s="39"/>
      <c r="K66" s="39"/>
      <c r="L66" s="39"/>
      <c r="M66" s="39"/>
      <c r="N66" s="39"/>
      <c r="O66" s="39"/>
      <c r="P66" s="200"/>
    </row>
    <row r="67" spans="1:16">
      <c r="A67" s="141" t="s">
        <v>140</v>
      </c>
      <c r="B67" s="142"/>
      <c r="C67" s="142"/>
      <c r="D67" s="142"/>
      <c r="E67" s="142"/>
      <c r="F67" s="143"/>
      <c r="G67" s="39"/>
      <c r="H67" s="199"/>
      <c r="I67" s="39"/>
      <c r="J67" s="39"/>
      <c r="K67" s="39"/>
      <c r="L67" s="39"/>
      <c r="M67" s="39"/>
      <c r="N67" s="39"/>
      <c r="O67" s="39"/>
      <c r="P67" s="200"/>
    </row>
    <row r="68" spans="1:16">
      <c r="A68" s="112" t="s">
        <v>141</v>
      </c>
      <c r="B68" s="108" t="s">
        <v>17</v>
      </c>
      <c r="C68" s="109">
        <v>25000</v>
      </c>
      <c r="D68" s="110">
        <v>2000</v>
      </c>
      <c r="E68" s="111">
        <f>C68*D68</f>
        <v>50000000</v>
      </c>
      <c r="F68" s="111">
        <f>E68/200</f>
        <v>250000</v>
      </c>
      <c r="G68" s="39"/>
      <c r="H68" s="199"/>
      <c r="I68" s="39"/>
      <c r="J68" s="39"/>
      <c r="K68" s="39"/>
      <c r="L68" s="39"/>
      <c r="M68" s="39"/>
      <c r="N68" s="39"/>
      <c r="O68" s="39"/>
      <c r="P68" s="200"/>
    </row>
    <row r="69" spans="1:16" ht="21">
      <c r="A69" s="326" t="s">
        <v>176</v>
      </c>
      <c r="B69" s="327"/>
      <c r="C69" s="327"/>
      <c r="D69" s="328"/>
      <c r="E69" s="145">
        <f>SUM(E68,E66,E53)</f>
        <v>366575000</v>
      </c>
      <c r="F69" s="145">
        <f>SUM(F53,F66,F68)</f>
        <v>1832875</v>
      </c>
      <c r="G69" s="39"/>
      <c r="H69" s="199"/>
      <c r="I69" s="39"/>
      <c r="J69" s="39"/>
      <c r="K69" s="39"/>
      <c r="L69" s="39"/>
      <c r="M69" s="39"/>
      <c r="N69" s="39"/>
      <c r="O69" s="39"/>
      <c r="P69" s="200"/>
    </row>
    <row r="70" spans="1:16">
      <c r="A70" s="202"/>
      <c r="B70" s="39"/>
      <c r="C70" s="39"/>
      <c r="D70" s="39"/>
      <c r="E70" s="39"/>
      <c r="F70" s="39"/>
      <c r="G70" s="39"/>
      <c r="H70" s="39"/>
      <c r="I70" s="39"/>
      <c r="J70" s="39"/>
      <c r="K70" s="39"/>
      <c r="L70" s="39"/>
      <c r="M70" s="39"/>
      <c r="N70" s="39"/>
      <c r="O70" s="39"/>
      <c r="P70" s="200"/>
    </row>
    <row r="71" spans="1:16">
      <c r="A71" s="202"/>
      <c r="B71" s="39"/>
      <c r="C71" s="39"/>
      <c r="D71" s="39"/>
      <c r="E71" s="39"/>
      <c r="F71" s="39"/>
      <c r="G71" s="39"/>
      <c r="H71" s="39"/>
      <c r="I71" s="39"/>
      <c r="J71" s="39"/>
      <c r="K71" s="39"/>
      <c r="L71" s="39"/>
      <c r="M71" s="39"/>
      <c r="N71" s="39"/>
      <c r="O71" s="39"/>
      <c r="P71" s="200"/>
    </row>
    <row r="72" spans="1:16">
      <c r="A72" s="202"/>
      <c r="B72" s="39"/>
      <c r="C72" s="39"/>
      <c r="D72" s="39"/>
      <c r="E72" s="39"/>
      <c r="F72" s="39"/>
      <c r="G72" s="39"/>
      <c r="H72" s="39"/>
      <c r="I72" s="39"/>
      <c r="J72" s="204"/>
      <c r="K72" s="39"/>
      <c r="L72" s="39"/>
      <c r="M72" s="39"/>
      <c r="N72" s="39"/>
      <c r="O72" s="39"/>
      <c r="P72" s="200"/>
    </row>
    <row r="73" spans="1:16">
      <c r="A73" s="202"/>
      <c r="B73" s="39"/>
      <c r="C73" s="39"/>
      <c r="D73" s="39"/>
      <c r="E73" s="39"/>
      <c r="F73" s="39"/>
      <c r="G73" s="39"/>
      <c r="H73" s="39"/>
      <c r="I73" s="39"/>
      <c r="J73" s="39"/>
      <c r="K73" s="39"/>
      <c r="L73" s="39"/>
      <c r="M73" s="39"/>
      <c r="N73" s="39"/>
      <c r="O73" s="39"/>
      <c r="P73" s="200"/>
    </row>
    <row r="74" spans="1:16">
      <c r="A74" s="202"/>
      <c r="B74" s="39"/>
      <c r="C74" s="39"/>
      <c r="D74" s="39"/>
      <c r="E74" s="39"/>
      <c r="F74" s="39"/>
      <c r="G74" s="39"/>
      <c r="H74" s="39"/>
      <c r="I74" s="39"/>
      <c r="J74" s="39"/>
      <c r="K74" s="39"/>
      <c r="L74" s="39"/>
      <c r="M74" s="39"/>
      <c r="N74" s="39"/>
      <c r="O74" s="39"/>
      <c r="P74" s="200"/>
    </row>
    <row r="75" spans="1:16">
      <c r="A75" s="202"/>
      <c r="B75" s="39"/>
      <c r="C75" s="39"/>
      <c r="D75" s="39"/>
      <c r="E75" s="39"/>
      <c r="F75" s="39"/>
      <c r="G75" s="39"/>
      <c r="H75" s="39"/>
      <c r="I75" s="39"/>
      <c r="J75" s="39"/>
      <c r="K75" s="39"/>
      <c r="L75" s="39"/>
      <c r="M75" s="39"/>
      <c r="N75" s="39"/>
      <c r="O75" s="39"/>
      <c r="P75" s="200"/>
    </row>
    <row r="76" spans="1:16">
      <c r="A76" s="202"/>
      <c r="B76" s="39"/>
      <c r="C76" s="39"/>
      <c r="D76" s="39"/>
      <c r="E76" s="39"/>
      <c r="F76" s="39"/>
      <c r="G76" s="39"/>
      <c r="H76" s="39"/>
      <c r="I76" s="39"/>
      <c r="J76" s="39"/>
      <c r="K76" s="39"/>
      <c r="L76" s="39"/>
      <c r="M76" s="39"/>
      <c r="N76" s="39"/>
      <c r="O76" s="39"/>
      <c r="P76" s="200"/>
    </row>
    <row r="77" spans="1:16">
      <c r="A77" s="205"/>
      <c r="B77" s="206"/>
      <c r="C77" s="206"/>
      <c r="D77" s="206"/>
      <c r="E77" s="206"/>
      <c r="F77" s="206"/>
      <c r="G77" s="206"/>
      <c r="H77" s="206"/>
      <c r="I77" s="206"/>
      <c r="J77" s="206"/>
      <c r="K77" s="206"/>
      <c r="L77" s="206"/>
      <c r="M77" s="206"/>
      <c r="N77" s="206"/>
      <c r="O77" s="206"/>
      <c r="P77" s="207"/>
    </row>
  </sheetData>
  <mergeCells count="39">
    <mergeCell ref="A44:D44"/>
    <mergeCell ref="A69:D69"/>
    <mergeCell ref="A49:F49"/>
    <mergeCell ref="A47:D47"/>
    <mergeCell ref="A54:F54"/>
    <mergeCell ref="A66:D66"/>
    <mergeCell ref="E47:F47"/>
    <mergeCell ref="A53:D53"/>
    <mergeCell ref="A9:D9"/>
    <mergeCell ref="E9:F9"/>
    <mergeCell ref="A11:F11"/>
    <mergeCell ref="A33:D33"/>
    <mergeCell ref="A16:F16"/>
    <mergeCell ref="A28:D28"/>
    <mergeCell ref="A15:D15"/>
    <mergeCell ref="P35:P38"/>
    <mergeCell ref="J38:M38"/>
    <mergeCell ref="J9:M9"/>
    <mergeCell ref="N9:O9"/>
    <mergeCell ref="J11:O11"/>
    <mergeCell ref="J16:O16"/>
    <mergeCell ref="J19:O19"/>
    <mergeCell ref="J23:M23"/>
    <mergeCell ref="J53:M53"/>
    <mergeCell ref="A1:F6"/>
    <mergeCell ref="G38:I41"/>
    <mergeCell ref="J47:M47"/>
    <mergeCell ref="N47:O47"/>
    <mergeCell ref="J49:O49"/>
    <mergeCell ref="J24:O24"/>
    <mergeCell ref="J32:M32"/>
    <mergeCell ref="J35:O35"/>
    <mergeCell ref="J1:O6"/>
    <mergeCell ref="J40:M40"/>
    <mergeCell ref="G34:I35"/>
    <mergeCell ref="G36:I37"/>
    <mergeCell ref="A29:F29"/>
    <mergeCell ref="A42:D42"/>
    <mergeCell ref="A41:D41"/>
  </mergeCells>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1:S288"/>
  <sheetViews>
    <sheetView topLeftCell="A248" zoomScale="70" zoomScaleNormal="70" zoomScalePageLayoutView="70" workbookViewId="0">
      <selection activeCell="M272" sqref="M272"/>
    </sheetView>
  </sheetViews>
  <sheetFormatPr baseColWidth="10" defaultRowHeight="15.6"/>
  <cols>
    <col min="2" max="4" width="3.19921875" customWidth="1"/>
    <col min="5" max="5" width="1.69921875" customWidth="1"/>
    <col min="6" max="7" width="2.69921875" customWidth="1"/>
    <col min="8" max="8" width="1.69921875" customWidth="1"/>
    <col min="9" max="11" width="3.19921875" customWidth="1"/>
    <col min="13" max="13" width="4.796875" bestFit="1" customWidth="1"/>
    <col min="14" max="14" width="26" bestFit="1" customWidth="1"/>
    <col min="15" max="15" width="4.296875" customWidth="1"/>
    <col min="16" max="16" width="2.5" bestFit="1" customWidth="1"/>
    <col min="17" max="17" width="38.5" bestFit="1" customWidth="1"/>
    <col min="20" max="22" width="3.19921875" customWidth="1"/>
    <col min="23" max="23" width="1.69921875" customWidth="1"/>
    <col min="24" max="25" width="2.69921875" customWidth="1"/>
    <col min="26" max="26" width="1.69921875" customWidth="1"/>
    <col min="27" max="29" width="3.19921875" customWidth="1"/>
    <col min="32" max="34" width="3.19921875" customWidth="1"/>
    <col min="35" max="35" width="1.69921875" customWidth="1"/>
    <col min="36" max="37" width="2.69921875" customWidth="1"/>
    <col min="38" max="38" width="1.69921875" customWidth="1"/>
    <col min="39" max="41" width="3.19921875" customWidth="1"/>
  </cols>
  <sheetData>
    <row r="1" spans="1:19">
      <c r="A1" s="387" t="s">
        <v>142</v>
      </c>
      <c r="B1" s="388"/>
      <c r="C1" s="388"/>
      <c r="D1" s="388"/>
      <c r="E1" s="388"/>
      <c r="F1" s="388"/>
      <c r="G1" s="388"/>
      <c r="H1" s="388"/>
      <c r="I1" s="388"/>
      <c r="J1" s="388"/>
      <c r="K1" s="388"/>
      <c r="L1" s="128"/>
      <c r="M1" s="128">
        <f>SUM(M4,M50,M96,M132,M155)</f>
        <v>232</v>
      </c>
      <c r="N1" s="129" t="s">
        <v>153</v>
      </c>
      <c r="O1" s="371" t="s">
        <v>212</v>
      </c>
      <c r="P1" s="372"/>
      <c r="Q1" s="372"/>
    </row>
    <row r="2" spans="1:19" ht="16.2" thickBot="1">
      <c r="A2" s="389" t="s">
        <v>143</v>
      </c>
      <c r="B2" s="390"/>
      <c r="C2" s="390"/>
      <c r="D2" s="390"/>
      <c r="E2" s="390"/>
      <c r="F2" s="390"/>
      <c r="G2" s="390"/>
      <c r="H2" s="390"/>
      <c r="I2" s="390"/>
      <c r="J2" s="390"/>
      <c r="K2" s="390"/>
      <c r="L2" s="130"/>
      <c r="M2" s="130">
        <f>SUM(M5,M51,M97,M133,M156)</f>
        <v>122</v>
      </c>
      <c r="N2" s="131" t="s">
        <v>154</v>
      </c>
    </row>
    <row r="4" spans="1:19">
      <c r="B4" s="368" t="s">
        <v>223</v>
      </c>
      <c r="C4" s="369"/>
      <c r="D4" s="370"/>
      <c r="E4" s="115"/>
      <c r="F4" s="115"/>
      <c r="I4" s="368" t="s">
        <v>224</v>
      </c>
      <c r="J4" s="369"/>
      <c r="K4" s="370"/>
      <c r="M4">
        <f>J38</f>
        <v>63</v>
      </c>
      <c r="N4" t="s">
        <v>153</v>
      </c>
      <c r="P4" s="132" t="s">
        <v>162</v>
      </c>
      <c r="Q4" s="135" t="s">
        <v>156</v>
      </c>
      <c r="R4" s="132">
        <v>2000</v>
      </c>
      <c r="S4" s="4"/>
    </row>
    <row r="5" spans="1:19">
      <c r="B5" s="121">
        <v>1</v>
      </c>
      <c r="K5" s="121">
        <v>29</v>
      </c>
      <c r="M5">
        <f>G30</f>
        <v>38</v>
      </c>
      <c r="N5" t="s">
        <v>154</v>
      </c>
      <c r="P5" s="132" t="s">
        <v>163</v>
      </c>
      <c r="Q5" s="135" t="s">
        <v>157</v>
      </c>
      <c r="R5" s="132">
        <f>M4*2.5*2.5</f>
        <v>393.75</v>
      </c>
      <c r="S5" s="133">
        <f>R5/$R$4</f>
        <v>0.19687499999999999</v>
      </c>
    </row>
    <row r="6" spans="1:19">
      <c r="B6" s="121">
        <v>2</v>
      </c>
      <c r="K6" s="121">
        <v>30</v>
      </c>
      <c r="P6" s="132" t="s">
        <v>164</v>
      </c>
      <c r="Q6" s="135" t="s">
        <v>159</v>
      </c>
      <c r="R6" s="132">
        <f>M5*2*2.5</f>
        <v>190</v>
      </c>
      <c r="S6" s="133">
        <f>R6/$R$4</f>
        <v>9.5000000000000001E-2</v>
      </c>
    </row>
    <row r="7" spans="1:19">
      <c r="B7" s="121">
        <v>3</v>
      </c>
      <c r="K7" s="121">
        <v>31</v>
      </c>
      <c r="P7" s="132" t="s">
        <v>165</v>
      </c>
      <c r="Q7" s="135" t="s">
        <v>158</v>
      </c>
      <c r="R7" s="132">
        <f>((2.5*2.5*3)*2)+(2.5*2.5*4)</f>
        <v>62.5</v>
      </c>
      <c r="S7" s="133">
        <f>R7/$R$4</f>
        <v>3.125E-2</v>
      </c>
    </row>
    <row r="8" spans="1:19">
      <c r="B8" s="121">
        <v>4</v>
      </c>
      <c r="K8" s="121">
        <v>32</v>
      </c>
      <c r="P8" s="132" t="s">
        <v>166</v>
      </c>
      <c r="Q8" s="135" t="s">
        <v>161</v>
      </c>
      <c r="R8" s="132">
        <f>10*20</f>
        <v>200</v>
      </c>
      <c r="S8" s="133">
        <f>R8/$R$4</f>
        <v>0.1</v>
      </c>
    </row>
    <row r="9" spans="1:19">
      <c r="B9" s="121">
        <v>5</v>
      </c>
      <c r="K9" s="121">
        <v>33</v>
      </c>
      <c r="P9" s="132" t="s">
        <v>167</v>
      </c>
      <c r="Q9" s="135" t="s">
        <v>168</v>
      </c>
      <c r="R9" s="132">
        <f>R4-R5-R6-R7-R8</f>
        <v>1153.75</v>
      </c>
      <c r="S9" s="133">
        <f>R9/$R$4</f>
        <v>0.57687500000000003</v>
      </c>
    </row>
    <row r="10" spans="1:19">
      <c r="B10" s="121">
        <v>6</v>
      </c>
      <c r="K10" s="121">
        <v>34</v>
      </c>
      <c r="P10" s="132" t="s">
        <v>146</v>
      </c>
      <c r="Q10" s="135" t="s">
        <v>160</v>
      </c>
      <c r="R10" s="132">
        <v>3</v>
      </c>
      <c r="S10" s="4"/>
    </row>
    <row r="11" spans="1:19">
      <c r="B11" s="121">
        <v>7</v>
      </c>
      <c r="K11" s="121">
        <v>35</v>
      </c>
      <c r="P11" s="179" t="s">
        <v>204</v>
      </c>
      <c r="Q11" s="180" t="s">
        <v>207</v>
      </c>
      <c r="R11" s="132">
        <v>1</v>
      </c>
      <c r="S11" s="4"/>
    </row>
    <row r="12" spans="1:19">
      <c r="B12" s="121">
        <v>8</v>
      </c>
      <c r="F12" s="122">
        <v>1</v>
      </c>
      <c r="G12" s="122">
        <v>20</v>
      </c>
      <c r="K12" s="121">
        <v>36</v>
      </c>
      <c r="P12" s="179" t="s">
        <v>205</v>
      </c>
      <c r="Q12" s="180" t="s">
        <v>208</v>
      </c>
      <c r="R12" s="132">
        <v>1</v>
      </c>
      <c r="S12" s="4"/>
    </row>
    <row r="13" spans="1:19">
      <c r="B13" s="121">
        <v>9</v>
      </c>
      <c r="F13" s="122">
        <v>2</v>
      </c>
      <c r="G13" s="122">
        <v>21</v>
      </c>
      <c r="K13" s="121">
        <v>37</v>
      </c>
      <c r="P13" s="179" t="s">
        <v>206</v>
      </c>
      <c r="Q13" s="180" t="s">
        <v>209</v>
      </c>
      <c r="R13" s="179">
        <v>4</v>
      </c>
      <c r="S13" s="4"/>
    </row>
    <row r="14" spans="1:19">
      <c r="B14" s="121">
        <v>10</v>
      </c>
      <c r="F14" s="122">
        <v>3</v>
      </c>
      <c r="G14" s="122">
        <v>22</v>
      </c>
      <c r="K14" s="121">
        <v>38</v>
      </c>
      <c r="P14" s="179" t="s">
        <v>210</v>
      </c>
      <c r="Q14" s="180" t="s">
        <v>211</v>
      </c>
      <c r="R14" s="132">
        <v>1</v>
      </c>
      <c r="S14" s="4"/>
    </row>
    <row r="15" spans="1:19">
      <c r="B15" s="121">
        <v>11</v>
      </c>
      <c r="F15" s="122">
        <v>4</v>
      </c>
      <c r="G15" s="122">
        <v>23</v>
      </c>
      <c r="K15" s="121">
        <v>39</v>
      </c>
      <c r="S15" s="134">
        <f>SUM(S5:S9)</f>
        <v>1</v>
      </c>
    </row>
    <row r="16" spans="1:19">
      <c r="B16" s="121">
        <v>12</v>
      </c>
      <c r="F16" s="122">
        <v>5</v>
      </c>
      <c r="G16" s="122">
        <v>24</v>
      </c>
      <c r="K16" s="121">
        <v>40</v>
      </c>
    </row>
    <row r="17" spans="2:17">
      <c r="B17" s="121">
        <v>13</v>
      </c>
      <c r="F17" s="122">
        <v>6</v>
      </c>
      <c r="G17" s="122">
        <v>25</v>
      </c>
      <c r="K17" s="121">
        <v>41</v>
      </c>
    </row>
    <row r="18" spans="2:17">
      <c r="B18" s="121">
        <v>14</v>
      </c>
      <c r="F18" s="122">
        <v>7</v>
      </c>
      <c r="G18" s="122">
        <v>26</v>
      </c>
      <c r="K18" s="121">
        <v>42</v>
      </c>
    </row>
    <row r="19" spans="2:17">
      <c r="B19" s="121">
        <v>15</v>
      </c>
      <c r="F19" s="122">
        <v>8</v>
      </c>
      <c r="G19" s="122">
        <v>27</v>
      </c>
      <c r="K19" s="121">
        <v>43</v>
      </c>
    </row>
    <row r="20" spans="2:17">
      <c r="B20" s="121">
        <v>16</v>
      </c>
      <c r="F20" s="122">
        <v>9</v>
      </c>
      <c r="G20" s="122">
        <v>28</v>
      </c>
      <c r="K20" s="121">
        <v>44</v>
      </c>
      <c r="Q20" s="194" t="s">
        <v>220</v>
      </c>
    </row>
    <row r="21" spans="2:17">
      <c r="B21" s="121">
        <v>17</v>
      </c>
      <c r="F21" s="122">
        <v>10</v>
      </c>
      <c r="G21" s="122">
        <v>29</v>
      </c>
      <c r="K21" s="121">
        <v>45</v>
      </c>
      <c r="Q21" s="20"/>
    </row>
    <row r="22" spans="2:17">
      <c r="B22" s="121">
        <v>18</v>
      </c>
      <c r="F22" s="122">
        <v>11</v>
      </c>
      <c r="G22" s="122">
        <v>30</v>
      </c>
      <c r="K22" s="121">
        <v>46</v>
      </c>
    </row>
    <row r="23" spans="2:17">
      <c r="B23" s="121">
        <v>19</v>
      </c>
      <c r="F23" s="122">
        <v>12</v>
      </c>
      <c r="G23" s="122">
        <v>31</v>
      </c>
      <c r="K23" s="121">
        <v>47</v>
      </c>
    </row>
    <row r="24" spans="2:17">
      <c r="B24" s="121">
        <v>20</v>
      </c>
      <c r="F24" s="122">
        <v>13</v>
      </c>
      <c r="G24" s="122">
        <v>32</v>
      </c>
      <c r="K24" s="121">
        <v>48</v>
      </c>
    </row>
    <row r="25" spans="2:17">
      <c r="B25" s="121">
        <v>21</v>
      </c>
      <c r="F25" s="122">
        <v>14</v>
      </c>
      <c r="G25" s="122">
        <v>33</v>
      </c>
      <c r="K25" s="121">
        <v>49</v>
      </c>
    </row>
    <row r="26" spans="2:17">
      <c r="B26" s="121">
        <v>22</v>
      </c>
      <c r="F26" s="122">
        <v>15</v>
      </c>
      <c r="G26" s="122">
        <v>34</v>
      </c>
      <c r="K26" s="121">
        <v>50</v>
      </c>
    </row>
    <row r="27" spans="2:17">
      <c r="B27" s="121">
        <v>23</v>
      </c>
      <c r="F27" s="122">
        <v>16</v>
      </c>
      <c r="G27" s="122">
        <v>35</v>
      </c>
      <c r="K27" s="121">
        <v>51</v>
      </c>
    </row>
    <row r="28" spans="2:17">
      <c r="B28" s="121">
        <v>24</v>
      </c>
      <c r="F28" s="122">
        <v>17</v>
      </c>
      <c r="G28" s="122">
        <v>36</v>
      </c>
      <c r="K28" s="121">
        <v>52</v>
      </c>
    </row>
    <row r="29" spans="2:17">
      <c r="B29" s="121">
        <v>25</v>
      </c>
      <c r="F29" s="122">
        <v>18</v>
      </c>
      <c r="G29" s="122">
        <v>37</v>
      </c>
      <c r="K29" s="121">
        <v>53</v>
      </c>
    </row>
    <row r="30" spans="2:17">
      <c r="B30" s="121">
        <v>26</v>
      </c>
      <c r="F30" s="122">
        <v>19</v>
      </c>
      <c r="G30" s="122">
        <v>38</v>
      </c>
      <c r="K30" s="121">
        <v>54</v>
      </c>
    </row>
    <row r="31" spans="2:17">
      <c r="B31" s="121">
        <v>27</v>
      </c>
      <c r="F31" s="119"/>
      <c r="G31" s="119"/>
      <c r="K31" s="121">
        <v>55</v>
      </c>
    </row>
    <row r="32" spans="2:17">
      <c r="B32" s="121">
        <v>28</v>
      </c>
      <c r="F32" s="119"/>
      <c r="G32" s="119"/>
      <c r="K32" s="121">
        <v>56</v>
      </c>
    </row>
    <row r="33" spans="1:11">
      <c r="B33" s="117">
        <v>29</v>
      </c>
      <c r="F33" s="119"/>
      <c r="G33" s="119"/>
      <c r="K33" s="117">
        <v>58</v>
      </c>
    </row>
    <row r="34" spans="1:11">
      <c r="B34" s="115"/>
      <c r="F34" s="119"/>
      <c r="G34" s="119"/>
      <c r="K34" s="115"/>
    </row>
    <row r="35" spans="1:11">
      <c r="B35" s="115"/>
      <c r="F35" s="115"/>
      <c r="G35" s="115"/>
      <c r="K35" s="115"/>
    </row>
    <row r="36" spans="1:11">
      <c r="B36" s="115"/>
      <c r="F36" s="115"/>
      <c r="G36" s="115"/>
      <c r="K36" s="115"/>
    </row>
    <row r="37" spans="1:11">
      <c r="B37" s="115"/>
      <c r="F37" s="115"/>
      <c r="G37" s="115"/>
      <c r="K37" s="115"/>
    </row>
    <row r="38" spans="1:11">
      <c r="B38" s="117">
        <v>59</v>
      </c>
      <c r="C38" s="121">
        <v>57</v>
      </c>
      <c r="D38" s="121">
        <v>58</v>
      </c>
      <c r="E38" s="383">
        <v>60</v>
      </c>
      <c r="F38" s="384"/>
      <c r="G38" s="383">
        <v>61</v>
      </c>
      <c r="H38" s="384"/>
      <c r="I38" s="121">
        <v>62</v>
      </c>
      <c r="J38" s="121">
        <v>63</v>
      </c>
      <c r="K38" s="117">
        <v>66</v>
      </c>
    </row>
    <row r="39" spans="1:11" ht="15.75" customHeight="1">
      <c r="B39" s="373" t="s">
        <v>147</v>
      </c>
      <c r="C39" s="374"/>
      <c r="D39" s="374"/>
      <c r="E39" s="374"/>
      <c r="F39" s="374"/>
      <c r="G39" s="374"/>
      <c r="H39" s="374"/>
      <c r="I39" s="374"/>
      <c r="J39" s="374"/>
      <c r="K39" s="375"/>
    </row>
    <row r="40" spans="1:11">
      <c r="B40" s="376"/>
      <c r="C40" s="377"/>
      <c r="D40" s="377"/>
      <c r="E40" s="377"/>
      <c r="F40" s="377"/>
      <c r="G40" s="377"/>
      <c r="H40" s="377"/>
      <c r="I40" s="377"/>
      <c r="J40" s="377"/>
      <c r="K40" s="378"/>
    </row>
    <row r="41" spans="1:11">
      <c r="B41" s="376"/>
      <c r="C41" s="377"/>
      <c r="D41" s="377"/>
      <c r="E41" s="377"/>
      <c r="F41" s="377"/>
      <c r="G41" s="377"/>
      <c r="H41" s="377"/>
      <c r="I41" s="377"/>
      <c r="J41" s="377"/>
      <c r="K41" s="378"/>
    </row>
    <row r="42" spans="1:11">
      <c r="B42" s="376"/>
      <c r="C42" s="377"/>
      <c r="D42" s="377"/>
      <c r="E42" s="377"/>
      <c r="F42" s="377"/>
      <c r="G42" s="377"/>
      <c r="H42" s="377"/>
      <c r="I42" s="377"/>
      <c r="J42" s="377"/>
      <c r="K42" s="378"/>
    </row>
    <row r="43" spans="1:11">
      <c r="B43" s="379"/>
      <c r="C43" s="380"/>
      <c r="D43" s="380"/>
      <c r="E43" s="380"/>
      <c r="F43" s="380"/>
      <c r="G43" s="380"/>
      <c r="H43" s="380"/>
      <c r="I43" s="380"/>
      <c r="J43" s="380"/>
      <c r="K43" s="381"/>
    </row>
    <row r="47" spans="1:11">
      <c r="A47" s="382" t="s">
        <v>142</v>
      </c>
      <c r="B47" s="382"/>
      <c r="C47" s="382"/>
      <c r="D47" s="382"/>
      <c r="E47" s="382"/>
      <c r="F47" s="382"/>
      <c r="G47" s="382"/>
      <c r="H47" s="382"/>
      <c r="I47" s="382"/>
      <c r="J47" s="382"/>
      <c r="K47" s="382"/>
    </row>
    <row r="48" spans="1:11">
      <c r="A48" s="382" t="s">
        <v>144</v>
      </c>
      <c r="B48" s="382"/>
      <c r="C48" s="382"/>
      <c r="D48" s="382"/>
      <c r="E48" s="382"/>
      <c r="F48" s="382"/>
      <c r="G48" s="382"/>
      <c r="H48" s="382"/>
      <c r="I48" s="382"/>
      <c r="J48" s="382"/>
      <c r="K48" s="382"/>
    </row>
    <row r="50" spans="2:19">
      <c r="B50" s="368" t="s">
        <v>146</v>
      </c>
      <c r="C50" s="369"/>
      <c r="D50" s="370"/>
      <c r="E50" s="115"/>
      <c r="F50" s="115"/>
      <c r="I50" s="368" t="s">
        <v>148</v>
      </c>
      <c r="J50" s="369"/>
      <c r="K50" s="370"/>
      <c r="M50">
        <v>63</v>
      </c>
      <c r="N50" t="s">
        <v>153</v>
      </c>
      <c r="P50" s="132" t="s">
        <v>162</v>
      </c>
      <c r="Q50" s="135" t="s">
        <v>156</v>
      </c>
      <c r="R50" s="132">
        <v>2000</v>
      </c>
      <c r="S50" s="4"/>
    </row>
    <row r="51" spans="2:19">
      <c r="B51" s="121">
        <v>1</v>
      </c>
      <c r="K51" s="121">
        <v>29</v>
      </c>
      <c r="M51">
        <v>38</v>
      </c>
      <c r="N51" t="s">
        <v>154</v>
      </c>
      <c r="P51" s="132" t="s">
        <v>163</v>
      </c>
      <c r="Q51" s="135" t="s">
        <v>157</v>
      </c>
      <c r="R51" s="132">
        <f>M50*2.5*2.5</f>
        <v>393.75</v>
      </c>
      <c r="S51" s="133">
        <f>R51/$R$50</f>
        <v>0.19687499999999999</v>
      </c>
    </row>
    <row r="52" spans="2:19">
      <c r="B52" s="121">
        <v>2</v>
      </c>
      <c r="K52" s="121">
        <v>30</v>
      </c>
      <c r="P52" s="132" t="s">
        <v>164</v>
      </c>
      <c r="Q52" s="135" t="s">
        <v>159</v>
      </c>
      <c r="R52" s="132">
        <f>M51*2*2.5</f>
        <v>190</v>
      </c>
      <c r="S52" s="133">
        <f>R52/$R$50</f>
        <v>9.5000000000000001E-2</v>
      </c>
    </row>
    <row r="53" spans="2:19">
      <c r="B53" s="121">
        <v>3</v>
      </c>
      <c r="K53" s="121">
        <v>31</v>
      </c>
      <c r="P53" s="132" t="s">
        <v>165</v>
      </c>
      <c r="Q53" s="135" t="s">
        <v>158</v>
      </c>
      <c r="R53" s="132">
        <f>((2.5*2.5*3)*2)+(2.5*2.5*4)</f>
        <v>62.5</v>
      </c>
      <c r="S53" s="133">
        <f>R53/$R$50</f>
        <v>3.125E-2</v>
      </c>
    </row>
    <row r="54" spans="2:19">
      <c r="B54" s="121">
        <v>4</v>
      </c>
      <c r="K54" s="121">
        <v>32</v>
      </c>
      <c r="P54" s="132" t="s">
        <v>166</v>
      </c>
      <c r="Q54" s="135" t="s">
        <v>161</v>
      </c>
      <c r="R54" s="132">
        <f>10*20</f>
        <v>200</v>
      </c>
      <c r="S54" s="133">
        <f>R54/$R$50</f>
        <v>0.1</v>
      </c>
    </row>
    <row r="55" spans="2:19">
      <c r="B55" s="121">
        <v>5</v>
      </c>
      <c r="K55" s="121">
        <v>33</v>
      </c>
      <c r="P55" s="132" t="s">
        <v>167</v>
      </c>
      <c r="Q55" s="135" t="s">
        <v>168</v>
      </c>
      <c r="R55" s="132">
        <f>R50-R51-R52-R53-R54</f>
        <v>1153.75</v>
      </c>
      <c r="S55" s="133">
        <f>R55/$R$50</f>
        <v>0.57687500000000003</v>
      </c>
    </row>
    <row r="56" spans="2:19">
      <c r="B56" s="121">
        <v>6</v>
      </c>
      <c r="K56" s="121">
        <v>34</v>
      </c>
      <c r="P56" s="132" t="s">
        <v>146</v>
      </c>
      <c r="Q56" s="135" t="s">
        <v>160</v>
      </c>
      <c r="R56" s="132">
        <v>3</v>
      </c>
      <c r="S56" s="4"/>
    </row>
    <row r="57" spans="2:19">
      <c r="B57" s="121">
        <v>7</v>
      </c>
      <c r="K57" s="121">
        <v>35</v>
      </c>
      <c r="P57" s="179" t="s">
        <v>204</v>
      </c>
      <c r="Q57" s="180" t="s">
        <v>207</v>
      </c>
      <c r="R57" s="132">
        <v>1</v>
      </c>
      <c r="S57" s="4"/>
    </row>
    <row r="58" spans="2:19">
      <c r="B58" s="121">
        <v>8</v>
      </c>
      <c r="F58" s="122">
        <v>1</v>
      </c>
      <c r="G58" s="122">
        <v>20</v>
      </c>
      <c r="K58" s="121">
        <v>36</v>
      </c>
      <c r="P58" s="179" t="s">
        <v>205</v>
      </c>
      <c r="Q58" s="180" t="s">
        <v>208</v>
      </c>
      <c r="R58" s="132">
        <v>1</v>
      </c>
      <c r="S58" s="4"/>
    </row>
    <row r="59" spans="2:19">
      <c r="B59" s="121">
        <v>9</v>
      </c>
      <c r="F59" s="122">
        <v>2</v>
      </c>
      <c r="G59" s="122">
        <v>21</v>
      </c>
      <c r="K59" s="121">
        <v>37</v>
      </c>
      <c r="P59" s="179" t="s">
        <v>206</v>
      </c>
      <c r="Q59" s="180" t="s">
        <v>209</v>
      </c>
      <c r="R59" s="179">
        <v>4</v>
      </c>
      <c r="S59" s="4"/>
    </row>
    <row r="60" spans="2:19">
      <c r="B60" s="121">
        <v>10</v>
      </c>
      <c r="F60" s="122">
        <v>3</v>
      </c>
      <c r="G60" s="122">
        <v>22</v>
      </c>
      <c r="K60" s="121">
        <v>38</v>
      </c>
      <c r="P60" s="179" t="s">
        <v>210</v>
      </c>
      <c r="Q60" s="180" t="s">
        <v>211</v>
      </c>
      <c r="R60" s="132">
        <v>1</v>
      </c>
      <c r="S60" s="4"/>
    </row>
    <row r="61" spans="2:19">
      <c r="B61" s="121">
        <v>11</v>
      </c>
      <c r="F61" s="122">
        <v>4</v>
      </c>
      <c r="G61" s="122">
        <v>23</v>
      </c>
      <c r="K61" s="121">
        <v>39</v>
      </c>
      <c r="S61" s="134">
        <f>SUM(S51:S55)</f>
        <v>1</v>
      </c>
    </row>
    <row r="62" spans="2:19">
      <c r="B62" s="121">
        <v>12</v>
      </c>
      <c r="F62" s="122">
        <v>5</v>
      </c>
      <c r="G62" s="122">
        <v>24</v>
      </c>
      <c r="K62" s="121">
        <v>40</v>
      </c>
    </row>
    <row r="63" spans="2:19">
      <c r="B63" s="121">
        <v>13</v>
      </c>
      <c r="F63" s="122">
        <v>6</v>
      </c>
      <c r="G63" s="122">
        <v>25</v>
      </c>
      <c r="K63" s="121">
        <v>41</v>
      </c>
    </row>
    <row r="64" spans="2:19">
      <c r="B64" s="121">
        <v>14</v>
      </c>
      <c r="F64" s="122">
        <v>7</v>
      </c>
      <c r="G64" s="122">
        <v>26</v>
      </c>
      <c r="K64" s="121">
        <v>42</v>
      </c>
    </row>
    <row r="65" spans="2:11">
      <c r="B65" s="121">
        <v>15</v>
      </c>
      <c r="F65" s="122">
        <v>8</v>
      </c>
      <c r="G65" s="122">
        <v>27</v>
      </c>
      <c r="K65" s="121">
        <v>43</v>
      </c>
    </row>
    <row r="66" spans="2:11">
      <c r="B66" s="121">
        <v>16</v>
      </c>
      <c r="F66" s="122">
        <v>9</v>
      </c>
      <c r="G66" s="122">
        <v>28</v>
      </c>
      <c r="K66" s="121">
        <v>44</v>
      </c>
    </row>
    <row r="67" spans="2:11">
      <c r="B67" s="121">
        <v>17</v>
      </c>
      <c r="F67" s="122">
        <v>10</v>
      </c>
      <c r="G67" s="122">
        <v>29</v>
      </c>
      <c r="K67" s="121">
        <v>45</v>
      </c>
    </row>
    <row r="68" spans="2:11">
      <c r="B68" s="121">
        <v>18</v>
      </c>
      <c r="F68" s="122">
        <v>11</v>
      </c>
      <c r="G68" s="122">
        <v>30</v>
      </c>
      <c r="K68" s="121">
        <v>46</v>
      </c>
    </row>
    <row r="69" spans="2:11">
      <c r="B69" s="121">
        <v>19</v>
      </c>
      <c r="F69" s="122">
        <v>12</v>
      </c>
      <c r="G69" s="122">
        <v>31</v>
      </c>
      <c r="K69" s="121">
        <v>47</v>
      </c>
    </row>
    <row r="70" spans="2:11">
      <c r="B70" s="121">
        <v>20</v>
      </c>
      <c r="F70" s="122">
        <v>13</v>
      </c>
      <c r="G70" s="122">
        <v>32</v>
      </c>
      <c r="K70" s="121">
        <v>48</v>
      </c>
    </row>
    <row r="71" spans="2:11">
      <c r="B71" s="121">
        <v>21</v>
      </c>
      <c r="F71" s="122">
        <v>14</v>
      </c>
      <c r="G71" s="122">
        <v>33</v>
      </c>
      <c r="K71" s="121">
        <v>49</v>
      </c>
    </row>
    <row r="72" spans="2:11">
      <c r="B72" s="121">
        <v>22</v>
      </c>
      <c r="F72" s="122">
        <v>15</v>
      </c>
      <c r="G72" s="122">
        <v>34</v>
      </c>
      <c r="K72" s="121">
        <v>50</v>
      </c>
    </row>
    <row r="73" spans="2:11">
      <c r="B73" s="121">
        <v>23</v>
      </c>
      <c r="F73" s="122">
        <v>16</v>
      </c>
      <c r="G73" s="122">
        <v>35</v>
      </c>
      <c r="K73" s="121">
        <v>51</v>
      </c>
    </row>
    <row r="74" spans="2:11">
      <c r="B74" s="121">
        <v>24</v>
      </c>
      <c r="F74" s="122">
        <v>17</v>
      </c>
      <c r="G74" s="122">
        <v>36</v>
      </c>
      <c r="K74" s="121">
        <v>52</v>
      </c>
    </row>
    <row r="75" spans="2:11">
      <c r="B75" s="121">
        <v>25</v>
      </c>
      <c r="F75" s="122">
        <v>18</v>
      </c>
      <c r="G75" s="122">
        <v>37</v>
      </c>
      <c r="K75" s="121">
        <v>53</v>
      </c>
    </row>
    <row r="76" spans="2:11">
      <c r="B76" s="121">
        <v>26</v>
      </c>
      <c r="F76" s="122">
        <v>19</v>
      </c>
      <c r="G76" s="122">
        <v>38</v>
      </c>
      <c r="K76" s="121">
        <v>54</v>
      </c>
    </row>
    <row r="77" spans="2:11">
      <c r="B77" s="121">
        <v>27</v>
      </c>
      <c r="F77" s="119"/>
      <c r="G77" s="119"/>
      <c r="K77" s="121">
        <v>55</v>
      </c>
    </row>
    <row r="78" spans="2:11">
      <c r="B78" s="121">
        <v>28</v>
      </c>
      <c r="F78" s="119"/>
      <c r="G78" s="119"/>
      <c r="K78" s="121">
        <v>56</v>
      </c>
    </row>
    <row r="79" spans="2:11">
      <c r="B79" s="117">
        <v>29</v>
      </c>
      <c r="F79" s="119"/>
      <c r="G79" s="119"/>
      <c r="K79" s="117">
        <v>58</v>
      </c>
    </row>
    <row r="80" spans="2:11">
      <c r="B80" s="115"/>
      <c r="F80" s="119"/>
      <c r="G80" s="119"/>
      <c r="K80" s="115"/>
    </row>
    <row r="81" spans="1:19">
      <c r="B81" s="115"/>
      <c r="F81" s="115"/>
      <c r="G81" s="115"/>
      <c r="K81" s="115"/>
    </row>
    <row r="82" spans="1:19">
      <c r="B82" s="115"/>
      <c r="F82" s="115"/>
      <c r="G82" s="115"/>
      <c r="K82" s="115"/>
    </row>
    <row r="83" spans="1:19">
      <c r="B83" s="115"/>
      <c r="F83" s="115"/>
      <c r="G83" s="115"/>
      <c r="K83" s="115"/>
    </row>
    <row r="84" spans="1:19">
      <c r="B84" s="117">
        <v>59</v>
      </c>
      <c r="C84" s="121">
        <v>57</v>
      </c>
      <c r="D84" s="121">
        <v>58</v>
      </c>
      <c r="E84" s="383">
        <v>60</v>
      </c>
      <c r="F84" s="384"/>
      <c r="G84" s="383">
        <v>61</v>
      </c>
      <c r="H84" s="384"/>
      <c r="I84" s="121">
        <v>62</v>
      </c>
      <c r="J84" s="121">
        <v>63</v>
      </c>
      <c r="K84" s="117">
        <v>66</v>
      </c>
    </row>
    <row r="85" spans="1:19" ht="15.75" customHeight="1">
      <c r="B85" s="373" t="s">
        <v>147</v>
      </c>
      <c r="C85" s="374"/>
      <c r="D85" s="374"/>
      <c r="E85" s="374"/>
      <c r="F85" s="374"/>
      <c r="G85" s="374"/>
      <c r="H85" s="374"/>
      <c r="I85" s="374"/>
      <c r="J85" s="374"/>
      <c r="K85" s="375"/>
    </row>
    <row r="86" spans="1:19">
      <c r="B86" s="376"/>
      <c r="C86" s="377"/>
      <c r="D86" s="377"/>
      <c r="E86" s="377"/>
      <c r="F86" s="377"/>
      <c r="G86" s="377"/>
      <c r="H86" s="377"/>
      <c r="I86" s="377"/>
      <c r="J86" s="377"/>
      <c r="K86" s="378"/>
    </row>
    <row r="87" spans="1:19">
      <c r="B87" s="376"/>
      <c r="C87" s="377"/>
      <c r="D87" s="377"/>
      <c r="E87" s="377"/>
      <c r="F87" s="377"/>
      <c r="G87" s="377"/>
      <c r="H87" s="377"/>
      <c r="I87" s="377"/>
      <c r="J87" s="377"/>
      <c r="K87" s="378"/>
    </row>
    <row r="88" spans="1:19">
      <c r="B88" s="376"/>
      <c r="C88" s="377"/>
      <c r="D88" s="377"/>
      <c r="E88" s="377"/>
      <c r="F88" s="377"/>
      <c r="G88" s="377"/>
      <c r="H88" s="377"/>
      <c r="I88" s="377"/>
      <c r="J88" s="377"/>
      <c r="K88" s="378"/>
    </row>
    <row r="89" spans="1:19">
      <c r="B89" s="379"/>
      <c r="C89" s="380"/>
      <c r="D89" s="380"/>
      <c r="E89" s="380"/>
      <c r="F89" s="380"/>
      <c r="G89" s="380"/>
      <c r="H89" s="380"/>
      <c r="I89" s="380"/>
      <c r="J89" s="380"/>
      <c r="K89" s="381"/>
    </row>
    <row r="93" spans="1:19">
      <c r="A93" s="382" t="s">
        <v>142</v>
      </c>
      <c r="B93" s="382"/>
      <c r="C93" s="382"/>
      <c r="D93" s="382"/>
      <c r="E93" s="382"/>
      <c r="F93" s="382"/>
      <c r="G93" s="382"/>
      <c r="H93" s="382"/>
      <c r="I93" s="382"/>
      <c r="J93" s="382"/>
      <c r="K93" s="382"/>
    </row>
    <row r="94" spans="1:19">
      <c r="A94" s="382" t="s">
        <v>145</v>
      </c>
      <c r="B94" s="382"/>
      <c r="C94" s="382"/>
      <c r="D94" s="382"/>
      <c r="E94" s="382"/>
      <c r="F94" s="382"/>
      <c r="G94" s="382"/>
      <c r="H94" s="382"/>
      <c r="I94" s="382"/>
      <c r="J94" s="382"/>
      <c r="K94" s="382"/>
    </row>
    <row r="96" spans="1:19">
      <c r="B96" s="368" t="s">
        <v>146</v>
      </c>
      <c r="C96" s="369"/>
      <c r="D96" s="370"/>
      <c r="E96" s="115"/>
      <c r="F96" s="115"/>
      <c r="I96" s="368" t="s">
        <v>148</v>
      </c>
      <c r="J96" s="369"/>
      <c r="K96" s="370"/>
      <c r="M96">
        <f>J120</f>
        <v>42</v>
      </c>
      <c r="N96" t="s">
        <v>153</v>
      </c>
      <c r="P96" s="132" t="s">
        <v>162</v>
      </c>
      <c r="Q96" s="135" t="s">
        <v>156</v>
      </c>
      <c r="R96" s="132">
        <v>1500</v>
      </c>
      <c r="S96" s="4"/>
    </row>
    <row r="97" spans="2:19">
      <c r="B97" s="121">
        <v>1</v>
      </c>
      <c r="K97" s="121">
        <v>19</v>
      </c>
      <c r="M97">
        <f>G112</f>
        <v>18</v>
      </c>
      <c r="N97" t="s">
        <v>154</v>
      </c>
      <c r="P97" s="132" t="s">
        <v>163</v>
      </c>
      <c r="Q97" s="135" t="s">
        <v>157</v>
      </c>
      <c r="R97" s="132">
        <f>M96*2.5*2.5</f>
        <v>262.5</v>
      </c>
      <c r="S97" s="133">
        <f>R97/$R$96</f>
        <v>0.17499999999999999</v>
      </c>
    </row>
    <row r="98" spans="2:19">
      <c r="B98" s="121">
        <v>2</v>
      </c>
      <c r="K98" s="121">
        <v>20</v>
      </c>
      <c r="P98" s="132" t="s">
        <v>164</v>
      </c>
      <c r="Q98" s="135" t="s">
        <v>159</v>
      </c>
      <c r="R98" s="132">
        <f>M97*2*2.5</f>
        <v>90</v>
      </c>
      <c r="S98" s="133">
        <f>R98/$R$96</f>
        <v>0.06</v>
      </c>
    </row>
    <row r="99" spans="2:19">
      <c r="B99" s="121">
        <v>3</v>
      </c>
      <c r="K99" s="121">
        <v>21</v>
      </c>
      <c r="P99" s="132" t="s">
        <v>165</v>
      </c>
      <c r="Q99" s="135" t="s">
        <v>158</v>
      </c>
      <c r="R99" s="132">
        <f>((2.5*2.5*3)*2)+(2.5*2.5*4)</f>
        <v>62.5</v>
      </c>
      <c r="S99" s="133">
        <f>R99/$R$96</f>
        <v>4.1666666666666664E-2</v>
      </c>
    </row>
    <row r="100" spans="2:19">
      <c r="B100" s="121">
        <v>4</v>
      </c>
      <c r="K100" s="121">
        <v>22</v>
      </c>
      <c r="P100" s="132" t="s">
        <v>166</v>
      </c>
      <c r="Q100" s="135" t="s">
        <v>161</v>
      </c>
      <c r="R100" s="132">
        <f>10*20</f>
        <v>200</v>
      </c>
      <c r="S100" s="133">
        <f>R100/$R$96</f>
        <v>0.13333333333333333</v>
      </c>
    </row>
    <row r="101" spans="2:19">
      <c r="B101" s="121">
        <v>5</v>
      </c>
      <c r="K101" s="121">
        <v>23</v>
      </c>
      <c r="P101" s="132" t="s">
        <v>167</v>
      </c>
      <c r="Q101" s="135" t="s">
        <v>168</v>
      </c>
      <c r="R101" s="132">
        <f>R96-R97-R98-R99-R100</f>
        <v>885</v>
      </c>
      <c r="S101" s="133">
        <f>R101/$R$96</f>
        <v>0.59</v>
      </c>
    </row>
    <row r="102" spans="2:19">
      <c r="B102" s="121">
        <v>6</v>
      </c>
      <c r="K102" s="121">
        <v>24</v>
      </c>
      <c r="P102" s="132" t="s">
        <v>146</v>
      </c>
      <c r="Q102" s="135" t="s">
        <v>160</v>
      </c>
      <c r="R102" s="132">
        <v>3</v>
      </c>
      <c r="S102" s="4"/>
    </row>
    <row r="103" spans="2:19">
      <c r="B103" s="121">
        <v>7</v>
      </c>
      <c r="K103" s="121">
        <v>25</v>
      </c>
      <c r="P103" s="179" t="s">
        <v>204</v>
      </c>
      <c r="Q103" s="180" t="s">
        <v>207</v>
      </c>
      <c r="R103" s="132">
        <v>1</v>
      </c>
      <c r="S103" s="4"/>
    </row>
    <row r="104" spans="2:19">
      <c r="B104" s="121">
        <v>8</v>
      </c>
      <c r="F104" s="123">
        <v>1</v>
      </c>
      <c r="G104" s="123">
        <v>10</v>
      </c>
      <c r="K104" s="121">
        <v>26</v>
      </c>
      <c r="P104" s="179" t="s">
        <v>205</v>
      </c>
      <c r="Q104" s="180" t="s">
        <v>208</v>
      </c>
      <c r="R104" s="132">
        <v>1</v>
      </c>
      <c r="S104" s="4"/>
    </row>
    <row r="105" spans="2:19">
      <c r="B105" s="121">
        <v>9</v>
      </c>
      <c r="F105" s="123">
        <v>2</v>
      </c>
      <c r="G105" s="123">
        <v>11</v>
      </c>
      <c r="K105" s="121">
        <v>27</v>
      </c>
      <c r="P105" s="179" t="s">
        <v>206</v>
      </c>
      <c r="Q105" s="180" t="s">
        <v>209</v>
      </c>
      <c r="R105" s="179">
        <v>2</v>
      </c>
      <c r="S105" s="4"/>
    </row>
    <row r="106" spans="2:19">
      <c r="B106" s="121">
        <v>10</v>
      </c>
      <c r="F106" s="123">
        <v>3</v>
      </c>
      <c r="G106" s="123">
        <v>12</v>
      </c>
      <c r="K106" s="121">
        <v>28</v>
      </c>
      <c r="P106" s="179" t="s">
        <v>210</v>
      </c>
      <c r="Q106" s="180" t="s">
        <v>211</v>
      </c>
      <c r="R106" s="132">
        <v>1</v>
      </c>
      <c r="S106" s="4"/>
    </row>
    <row r="107" spans="2:19">
      <c r="B107" s="121">
        <v>11</v>
      </c>
      <c r="F107" s="123">
        <v>4</v>
      </c>
      <c r="G107" s="123">
        <v>13</v>
      </c>
      <c r="K107" s="121">
        <v>29</v>
      </c>
      <c r="S107" s="134">
        <f>SUM(S97:S101)</f>
        <v>1</v>
      </c>
    </row>
    <row r="108" spans="2:19">
      <c r="B108" s="121">
        <v>12</v>
      </c>
      <c r="F108" s="123">
        <v>5</v>
      </c>
      <c r="G108" s="123">
        <v>14</v>
      </c>
      <c r="K108" s="121">
        <v>30</v>
      </c>
    </row>
    <row r="109" spans="2:19">
      <c r="B109" s="121">
        <v>13</v>
      </c>
      <c r="F109" s="123">
        <v>6</v>
      </c>
      <c r="G109" s="123">
        <v>15</v>
      </c>
      <c r="K109" s="121">
        <v>31</v>
      </c>
    </row>
    <row r="110" spans="2:19">
      <c r="B110" s="121">
        <v>14</v>
      </c>
      <c r="F110" s="123">
        <v>7</v>
      </c>
      <c r="G110" s="123">
        <v>16</v>
      </c>
      <c r="K110" s="121">
        <v>32</v>
      </c>
    </row>
    <row r="111" spans="2:19">
      <c r="B111" s="121">
        <v>15</v>
      </c>
      <c r="F111" s="123">
        <v>8</v>
      </c>
      <c r="G111" s="123">
        <v>17</v>
      </c>
      <c r="K111" s="121">
        <v>33</v>
      </c>
    </row>
    <row r="112" spans="2:19">
      <c r="B112" s="121">
        <v>16</v>
      </c>
      <c r="F112" s="123">
        <v>9</v>
      </c>
      <c r="G112" s="123">
        <v>18</v>
      </c>
      <c r="K112" s="121">
        <v>34</v>
      </c>
    </row>
    <row r="113" spans="2:11">
      <c r="B113" s="121">
        <v>17</v>
      </c>
      <c r="F113" s="116"/>
      <c r="G113" s="116"/>
      <c r="K113" s="121">
        <v>35</v>
      </c>
    </row>
    <row r="114" spans="2:11">
      <c r="B114" s="121">
        <v>18</v>
      </c>
      <c r="F114" s="115"/>
      <c r="G114" s="115"/>
      <c r="K114" s="121">
        <v>36</v>
      </c>
    </row>
    <row r="115" spans="2:11">
      <c r="B115" s="118"/>
      <c r="F115" s="115"/>
      <c r="G115" s="115"/>
      <c r="K115" s="118"/>
    </row>
    <row r="116" spans="2:11">
      <c r="B116" s="116"/>
      <c r="F116" s="115"/>
      <c r="G116" s="115"/>
      <c r="K116" s="116"/>
    </row>
    <row r="117" spans="2:11">
      <c r="B117" s="115"/>
      <c r="F117" s="115"/>
      <c r="G117" s="115"/>
      <c r="K117" s="115"/>
    </row>
    <row r="118" spans="2:11">
      <c r="B118" s="115"/>
      <c r="F118" s="115"/>
      <c r="G118" s="115"/>
      <c r="K118" s="115"/>
    </row>
    <row r="119" spans="2:11">
      <c r="B119" s="120"/>
      <c r="F119" s="115"/>
      <c r="G119" s="115"/>
      <c r="K119" s="120"/>
    </row>
    <row r="120" spans="2:11">
      <c r="B120" s="118"/>
      <c r="C120" s="121">
        <v>37</v>
      </c>
      <c r="D120" s="121">
        <v>38</v>
      </c>
      <c r="E120" s="383">
        <v>39</v>
      </c>
      <c r="F120" s="384"/>
      <c r="G120" s="383">
        <v>40</v>
      </c>
      <c r="H120" s="384"/>
      <c r="I120" s="121">
        <v>41</v>
      </c>
      <c r="J120" s="121">
        <v>42</v>
      </c>
      <c r="K120" s="118"/>
    </row>
    <row r="121" spans="2:11">
      <c r="B121" s="373" t="s">
        <v>147</v>
      </c>
      <c r="C121" s="374"/>
      <c r="D121" s="374"/>
      <c r="E121" s="374"/>
      <c r="F121" s="374"/>
      <c r="G121" s="374"/>
      <c r="H121" s="374"/>
      <c r="I121" s="374"/>
      <c r="J121" s="374"/>
      <c r="K121" s="375"/>
    </row>
    <row r="122" spans="2:11">
      <c r="B122" s="376"/>
      <c r="C122" s="377"/>
      <c r="D122" s="377"/>
      <c r="E122" s="377"/>
      <c r="F122" s="377"/>
      <c r="G122" s="377"/>
      <c r="H122" s="377"/>
      <c r="I122" s="377"/>
      <c r="J122" s="377"/>
      <c r="K122" s="378"/>
    </row>
    <row r="123" spans="2:11">
      <c r="B123" s="376"/>
      <c r="C123" s="377"/>
      <c r="D123" s="377"/>
      <c r="E123" s="377"/>
      <c r="F123" s="377"/>
      <c r="G123" s="377"/>
      <c r="H123" s="377"/>
      <c r="I123" s="377"/>
      <c r="J123" s="377"/>
      <c r="K123" s="378"/>
    </row>
    <row r="124" spans="2:11">
      <c r="B124" s="376"/>
      <c r="C124" s="377"/>
      <c r="D124" s="377"/>
      <c r="E124" s="377"/>
      <c r="F124" s="377"/>
      <c r="G124" s="377"/>
      <c r="H124" s="377"/>
      <c r="I124" s="377"/>
      <c r="J124" s="377"/>
      <c r="K124" s="378"/>
    </row>
    <row r="125" spans="2:11">
      <c r="B125" s="379"/>
      <c r="C125" s="380"/>
      <c r="D125" s="380"/>
      <c r="E125" s="380"/>
      <c r="F125" s="380"/>
      <c r="G125" s="380"/>
      <c r="H125" s="380"/>
      <c r="I125" s="380"/>
      <c r="J125" s="380"/>
      <c r="K125" s="381"/>
    </row>
    <row r="129" spans="1:19">
      <c r="A129" s="386" t="s">
        <v>142</v>
      </c>
      <c r="B129" s="386"/>
      <c r="C129" s="386"/>
      <c r="D129" s="386"/>
      <c r="E129" s="386"/>
      <c r="F129" s="386"/>
      <c r="G129" s="386"/>
      <c r="H129" s="386"/>
      <c r="I129" s="386"/>
      <c r="J129" s="386"/>
      <c r="K129" s="386"/>
    </row>
    <row r="130" spans="1:19">
      <c r="A130" s="386" t="s">
        <v>149</v>
      </c>
      <c r="B130" s="386"/>
      <c r="C130" s="386"/>
      <c r="D130" s="386"/>
      <c r="E130" s="386"/>
      <c r="F130" s="386"/>
      <c r="G130" s="386"/>
      <c r="H130" s="386"/>
      <c r="I130" s="386"/>
      <c r="J130" s="386"/>
      <c r="K130" s="386"/>
    </row>
    <row r="132" spans="1:19">
      <c r="B132" s="368" t="s">
        <v>146</v>
      </c>
      <c r="C132" s="369"/>
      <c r="D132" s="370"/>
      <c r="E132" s="115"/>
      <c r="F132" s="115"/>
      <c r="I132" s="368" t="s">
        <v>148</v>
      </c>
      <c r="J132" s="369"/>
      <c r="K132" s="370"/>
      <c r="M132">
        <f>J145</f>
        <v>20</v>
      </c>
      <c r="N132" t="s">
        <v>153</v>
      </c>
      <c r="P132" s="132" t="s">
        <v>162</v>
      </c>
      <c r="Q132" s="135" t="s">
        <v>156</v>
      </c>
      <c r="R132" s="132">
        <v>900</v>
      </c>
      <c r="S132" s="4"/>
    </row>
    <row r="133" spans="1:19">
      <c r="B133" s="124">
        <v>1</v>
      </c>
      <c r="K133" s="124">
        <v>8</v>
      </c>
      <c r="M133">
        <v>0</v>
      </c>
      <c r="N133" t="s">
        <v>154</v>
      </c>
      <c r="P133" s="132" t="s">
        <v>163</v>
      </c>
      <c r="Q133" s="135" t="s">
        <v>157</v>
      </c>
      <c r="R133" s="132">
        <f>M132*2.5*2.5</f>
        <v>125</v>
      </c>
      <c r="S133" s="133">
        <f>R133/$R$132</f>
        <v>0.1388888888888889</v>
      </c>
    </row>
    <row r="134" spans="1:19">
      <c r="B134" s="124">
        <v>2</v>
      </c>
      <c r="K134" s="124">
        <v>9</v>
      </c>
      <c r="P134" s="132" t="s">
        <v>164</v>
      </c>
      <c r="Q134" s="135" t="s">
        <v>159</v>
      </c>
      <c r="R134" s="132">
        <f>M133*2*2.5</f>
        <v>0</v>
      </c>
      <c r="S134" s="133">
        <f>R134/$R$132</f>
        <v>0</v>
      </c>
    </row>
    <row r="135" spans="1:19">
      <c r="B135" s="124">
        <v>3</v>
      </c>
      <c r="K135" s="124">
        <v>10</v>
      </c>
      <c r="P135" s="132" t="s">
        <v>165</v>
      </c>
      <c r="Q135" s="135" t="s">
        <v>158</v>
      </c>
      <c r="R135" s="132">
        <f>((2.5*2.5*3)*2)+(2.5*2.5*4)</f>
        <v>62.5</v>
      </c>
      <c r="S135" s="133">
        <f>R135/$R$132</f>
        <v>6.9444444444444448E-2</v>
      </c>
    </row>
    <row r="136" spans="1:19">
      <c r="B136" s="124">
        <v>4</v>
      </c>
      <c r="K136" s="124">
        <v>11</v>
      </c>
      <c r="P136" s="132" t="s">
        <v>166</v>
      </c>
      <c r="Q136" s="135" t="s">
        <v>161</v>
      </c>
      <c r="R136" s="132">
        <f>10*20</f>
        <v>200</v>
      </c>
      <c r="S136" s="133">
        <f>R136/$R$132</f>
        <v>0.22222222222222221</v>
      </c>
    </row>
    <row r="137" spans="1:19">
      <c r="B137" s="124">
        <v>5</v>
      </c>
      <c r="K137" s="124">
        <v>12</v>
      </c>
      <c r="P137" s="132" t="s">
        <v>167</v>
      </c>
      <c r="Q137" s="135" t="s">
        <v>168</v>
      </c>
      <c r="R137" s="132">
        <f>R132-R133-R134-R135-R136</f>
        <v>512.5</v>
      </c>
      <c r="S137" s="133">
        <f>R137/$R$132</f>
        <v>0.56944444444444442</v>
      </c>
    </row>
    <row r="138" spans="1:19">
      <c r="B138" s="124">
        <v>6</v>
      </c>
      <c r="K138" s="124">
        <v>13</v>
      </c>
      <c r="P138" s="132" t="s">
        <v>146</v>
      </c>
      <c r="Q138" s="135" t="s">
        <v>160</v>
      </c>
      <c r="R138" s="132">
        <v>3</v>
      </c>
      <c r="S138" s="4"/>
    </row>
    <row r="139" spans="1:19">
      <c r="B139" s="124">
        <v>7</v>
      </c>
      <c r="K139" s="124">
        <v>14</v>
      </c>
      <c r="P139" s="179" t="s">
        <v>204</v>
      </c>
      <c r="Q139" s="180" t="s">
        <v>207</v>
      </c>
      <c r="R139" s="132">
        <v>1</v>
      </c>
      <c r="S139" s="4"/>
    </row>
    <row r="140" spans="1:19">
      <c r="B140" s="118"/>
      <c r="F140" s="115"/>
      <c r="G140" s="115"/>
      <c r="H140" s="115"/>
      <c r="K140" s="118"/>
      <c r="P140" s="179" t="s">
        <v>205</v>
      </c>
      <c r="Q140" s="180" t="s">
        <v>208</v>
      </c>
      <c r="R140" s="132">
        <v>1</v>
      </c>
      <c r="S140" s="4"/>
    </row>
    <row r="141" spans="1:19">
      <c r="B141" s="116"/>
      <c r="F141" s="115"/>
      <c r="G141" s="115"/>
      <c r="H141" s="115"/>
      <c r="K141" s="116"/>
      <c r="P141" s="179" t="s">
        <v>206</v>
      </c>
      <c r="Q141" s="180" t="s">
        <v>209</v>
      </c>
      <c r="R141" s="179">
        <v>2</v>
      </c>
      <c r="S141" s="4"/>
    </row>
    <row r="142" spans="1:19">
      <c r="B142" s="115"/>
      <c r="F142" s="115"/>
      <c r="G142" s="115"/>
      <c r="H142" s="115"/>
      <c r="K142" s="115"/>
      <c r="P142" s="179" t="s">
        <v>210</v>
      </c>
      <c r="Q142" s="180" t="s">
        <v>211</v>
      </c>
      <c r="R142" s="132">
        <v>1</v>
      </c>
      <c r="S142" s="4"/>
    </row>
    <row r="143" spans="1:19">
      <c r="B143" s="115"/>
      <c r="F143" s="115"/>
      <c r="G143" s="115"/>
      <c r="H143" s="115"/>
      <c r="K143" s="115"/>
      <c r="S143" s="134">
        <f>SUM(S133:S137)</f>
        <v>1</v>
      </c>
    </row>
    <row r="144" spans="1:19">
      <c r="B144" s="120"/>
      <c r="F144" s="120"/>
      <c r="G144" s="120"/>
      <c r="H144" s="120"/>
      <c r="K144" s="120"/>
    </row>
    <row r="145" spans="1:19">
      <c r="B145" s="118"/>
      <c r="C145" s="121">
        <v>15</v>
      </c>
      <c r="D145" s="121">
        <v>16</v>
      </c>
      <c r="E145" s="383">
        <v>17</v>
      </c>
      <c r="F145" s="384"/>
      <c r="G145" s="383">
        <v>18</v>
      </c>
      <c r="H145" s="384"/>
      <c r="I145" s="121">
        <v>19</v>
      </c>
      <c r="J145" s="121">
        <v>20</v>
      </c>
      <c r="K145" s="118"/>
    </row>
    <row r="146" spans="1:19">
      <c r="B146" s="373" t="s">
        <v>147</v>
      </c>
      <c r="C146" s="374"/>
      <c r="D146" s="374"/>
      <c r="E146" s="374"/>
      <c r="F146" s="374"/>
      <c r="G146" s="374"/>
      <c r="H146" s="374"/>
      <c r="I146" s="374"/>
      <c r="J146" s="374"/>
      <c r="K146" s="375"/>
    </row>
    <row r="147" spans="1:19">
      <c r="B147" s="376"/>
      <c r="C147" s="377"/>
      <c r="D147" s="377"/>
      <c r="E147" s="377"/>
      <c r="F147" s="377"/>
      <c r="G147" s="377"/>
      <c r="H147" s="377"/>
      <c r="I147" s="377"/>
      <c r="J147" s="377"/>
      <c r="K147" s="378"/>
    </row>
    <row r="148" spans="1:19">
      <c r="B148" s="376"/>
      <c r="C148" s="377"/>
      <c r="D148" s="377"/>
      <c r="E148" s="377"/>
      <c r="F148" s="377"/>
      <c r="G148" s="377"/>
      <c r="H148" s="377"/>
      <c r="I148" s="377"/>
      <c r="J148" s="377"/>
      <c r="K148" s="378"/>
    </row>
    <row r="149" spans="1:19">
      <c r="B149" s="376"/>
      <c r="C149" s="377"/>
      <c r="D149" s="377"/>
      <c r="E149" s="377"/>
      <c r="F149" s="377"/>
      <c r="G149" s="377"/>
      <c r="H149" s="377"/>
      <c r="I149" s="377"/>
      <c r="J149" s="377"/>
      <c r="K149" s="378"/>
    </row>
    <row r="150" spans="1:19">
      <c r="B150" s="379"/>
      <c r="C150" s="380"/>
      <c r="D150" s="380"/>
      <c r="E150" s="380"/>
      <c r="F150" s="380"/>
      <c r="G150" s="380"/>
      <c r="H150" s="380"/>
      <c r="I150" s="380"/>
      <c r="J150" s="380"/>
      <c r="K150" s="381"/>
    </row>
    <row r="152" spans="1:19">
      <c r="A152" s="382" t="s">
        <v>142</v>
      </c>
      <c r="B152" s="382"/>
      <c r="C152" s="382"/>
      <c r="D152" s="382"/>
      <c r="E152" s="382"/>
      <c r="F152" s="382"/>
      <c r="G152" s="382"/>
      <c r="H152" s="382"/>
      <c r="I152" s="382"/>
      <c r="J152" s="382"/>
      <c r="K152" s="382"/>
    </row>
    <row r="153" spans="1:19">
      <c r="A153" s="382" t="s">
        <v>150</v>
      </c>
      <c r="B153" s="382"/>
      <c r="C153" s="382"/>
      <c r="D153" s="382"/>
      <c r="E153" s="382"/>
      <c r="F153" s="382"/>
      <c r="G153" s="382"/>
      <c r="H153" s="382"/>
      <c r="I153" s="382"/>
      <c r="J153" s="382"/>
      <c r="K153" s="382"/>
    </row>
    <row r="155" spans="1:19">
      <c r="B155" s="368" t="s">
        <v>146</v>
      </c>
      <c r="C155" s="369"/>
      <c r="D155" s="370"/>
      <c r="E155" s="115"/>
      <c r="F155" s="115"/>
      <c r="I155" s="368" t="s">
        <v>148</v>
      </c>
      <c r="J155" s="369"/>
      <c r="K155" s="370"/>
      <c r="M155">
        <f>K183</f>
        <v>44</v>
      </c>
      <c r="N155" t="s">
        <v>153</v>
      </c>
      <c r="P155" s="132" t="s">
        <v>162</v>
      </c>
      <c r="Q155" s="135" t="s">
        <v>156</v>
      </c>
      <c r="R155" s="132">
        <v>1500</v>
      </c>
      <c r="S155" s="4"/>
    </row>
    <row r="156" spans="1:19">
      <c r="B156" s="121">
        <v>1</v>
      </c>
      <c r="K156" s="121">
        <v>23</v>
      </c>
      <c r="M156">
        <f>G176</f>
        <v>28</v>
      </c>
      <c r="N156" t="s">
        <v>154</v>
      </c>
      <c r="P156" s="132" t="s">
        <v>163</v>
      </c>
      <c r="Q156" s="135" t="s">
        <v>157</v>
      </c>
      <c r="R156" s="132">
        <f>M155*2.5*2.5</f>
        <v>275</v>
      </c>
      <c r="S156" s="133">
        <f>R156/$R$155</f>
        <v>0.18333333333333332</v>
      </c>
    </row>
    <row r="157" spans="1:19">
      <c r="B157" s="121">
        <v>2</v>
      </c>
      <c r="K157" s="121">
        <v>24</v>
      </c>
      <c r="P157" s="132" t="s">
        <v>164</v>
      </c>
      <c r="Q157" s="135" t="s">
        <v>159</v>
      </c>
      <c r="R157" s="132">
        <f>M156*2*2.5</f>
        <v>140</v>
      </c>
      <c r="S157" s="133">
        <f>R157/$R$155</f>
        <v>9.3333333333333338E-2</v>
      </c>
    </row>
    <row r="158" spans="1:19">
      <c r="B158" s="121">
        <v>3</v>
      </c>
      <c r="K158" s="121">
        <v>25</v>
      </c>
      <c r="P158" s="132" t="s">
        <v>165</v>
      </c>
      <c r="Q158" s="135" t="s">
        <v>158</v>
      </c>
      <c r="R158" s="132">
        <f>((2.5*2.5*3)*2)+(2.5*2.5*4)</f>
        <v>62.5</v>
      </c>
      <c r="S158" s="133">
        <f>R158/$R$155</f>
        <v>4.1666666666666664E-2</v>
      </c>
    </row>
    <row r="159" spans="1:19">
      <c r="B159" s="121">
        <v>4</v>
      </c>
      <c r="K159" s="121">
        <v>26</v>
      </c>
      <c r="P159" s="132" t="s">
        <v>166</v>
      </c>
      <c r="Q159" s="135" t="s">
        <v>161</v>
      </c>
      <c r="R159" s="132">
        <f>10*20</f>
        <v>200</v>
      </c>
      <c r="S159" s="133">
        <f>R159/$R$155</f>
        <v>0.13333333333333333</v>
      </c>
    </row>
    <row r="160" spans="1:19">
      <c r="B160" s="121">
        <v>5</v>
      </c>
      <c r="K160" s="121">
        <v>27</v>
      </c>
      <c r="P160" s="132" t="s">
        <v>167</v>
      </c>
      <c r="Q160" s="135" t="s">
        <v>168</v>
      </c>
      <c r="R160" s="132">
        <f>R155-R156-R157-R158-R159</f>
        <v>822.5</v>
      </c>
      <c r="S160" s="133">
        <f>R160/$R$155</f>
        <v>0.54833333333333334</v>
      </c>
    </row>
    <row r="161" spans="2:19">
      <c r="B161" s="121">
        <v>6</v>
      </c>
      <c r="K161" s="121">
        <v>28</v>
      </c>
      <c r="P161" s="132" t="s">
        <v>146</v>
      </c>
      <c r="Q161" s="135" t="s">
        <v>160</v>
      </c>
      <c r="R161" s="132">
        <v>4</v>
      </c>
      <c r="S161" s="4"/>
    </row>
    <row r="162" spans="2:19">
      <c r="B162" s="121">
        <v>7</v>
      </c>
      <c r="K162" s="121">
        <v>29</v>
      </c>
      <c r="P162" s="179" t="s">
        <v>204</v>
      </c>
      <c r="Q162" s="180" t="s">
        <v>207</v>
      </c>
      <c r="R162" s="132">
        <v>1</v>
      </c>
      <c r="S162" s="4"/>
    </row>
    <row r="163" spans="2:19">
      <c r="B163" s="121">
        <v>8</v>
      </c>
      <c r="F163" s="123">
        <v>1</v>
      </c>
      <c r="G163" s="123">
        <v>15</v>
      </c>
      <c r="K163" s="121">
        <v>30</v>
      </c>
      <c r="P163" s="179" t="s">
        <v>205</v>
      </c>
      <c r="Q163" s="180" t="s">
        <v>208</v>
      </c>
      <c r="R163" s="132">
        <v>1</v>
      </c>
      <c r="S163" s="4"/>
    </row>
    <row r="164" spans="2:19">
      <c r="B164" s="121">
        <v>9</v>
      </c>
      <c r="F164" s="123">
        <v>2</v>
      </c>
      <c r="G164" s="123">
        <v>16</v>
      </c>
      <c r="K164" s="121">
        <v>31</v>
      </c>
      <c r="P164" s="179" t="s">
        <v>206</v>
      </c>
      <c r="Q164" s="180" t="s">
        <v>209</v>
      </c>
      <c r="R164" s="179">
        <v>4</v>
      </c>
      <c r="S164" s="4"/>
    </row>
    <row r="165" spans="2:19">
      <c r="B165" s="121">
        <v>10</v>
      </c>
      <c r="F165" s="123">
        <v>3</v>
      </c>
      <c r="G165" s="123">
        <v>17</v>
      </c>
      <c r="K165" s="121">
        <v>32</v>
      </c>
      <c r="P165" s="179" t="s">
        <v>210</v>
      </c>
      <c r="Q165" s="180" t="s">
        <v>211</v>
      </c>
      <c r="R165" s="132">
        <v>0</v>
      </c>
      <c r="S165" s="4"/>
    </row>
    <row r="166" spans="2:19">
      <c r="B166" s="121">
        <v>11</v>
      </c>
      <c r="F166" s="123">
        <v>4</v>
      </c>
      <c r="G166" s="123">
        <v>18</v>
      </c>
      <c r="K166" s="121">
        <v>33</v>
      </c>
      <c r="S166" s="134">
        <f>SUM(S156:S160)</f>
        <v>1</v>
      </c>
    </row>
    <row r="167" spans="2:19">
      <c r="B167" s="118"/>
      <c r="F167" s="123">
        <v>5</v>
      </c>
      <c r="G167" s="123">
        <v>19</v>
      </c>
      <c r="K167" s="118"/>
    </row>
    <row r="168" spans="2:19">
      <c r="B168" s="116"/>
      <c r="F168" s="123">
        <v>6</v>
      </c>
      <c r="G168" s="123">
        <v>20</v>
      </c>
      <c r="K168" s="116"/>
    </row>
    <row r="169" spans="2:19">
      <c r="B169" s="115"/>
      <c r="F169" s="123">
        <v>7</v>
      </c>
      <c r="G169" s="123">
        <v>21</v>
      </c>
      <c r="K169" s="115"/>
    </row>
    <row r="170" spans="2:19">
      <c r="B170" s="115"/>
      <c r="F170" s="123">
        <v>8</v>
      </c>
      <c r="G170" s="123">
        <v>22</v>
      </c>
      <c r="K170" s="115"/>
    </row>
    <row r="171" spans="2:19">
      <c r="B171" s="120"/>
      <c r="F171" s="123">
        <v>9</v>
      </c>
      <c r="G171" s="123">
        <v>23</v>
      </c>
      <c r="K171" s="120"/>
    </row>
    <row r="172" spans="2:19">
      <c r="B172" s="118"/>
      <c r="F172" s="123">
        <v>10</v>
      </c>
      <c r="G172" s="123">
        <v>24</v>
      </c>
      <c r="K172" s="118"/>
    </row>
    <row r="173" spans="2:19">
      <c r="B173" s="121">
        <v>12</v>
      </c>
      <c r="F173" s="123">
        <v>11</v>
      </c>
      <c r="G173" s="123">
        <v>25</v>
      </c>
      <c r="K173" s="121">
        <v>34</v>
      </c>
      <c r="P173" s="385" t="s">
        <v>170</v>
      </c>
      <c r="Q173" s="385"/>
      <c r="R173" s="385"/>
      <c r="S173" s="385"/>
    </row>
    <row r="174" spans="2:19">
      <c r="B174" s="121">
        <v>13</v>
      </c>
      <c r="F174" s="123">
        <v>12</v>
      </c>
      <c r="G174" s="123">
        <v>26</v>
      </c>
      <c r="K174" s="121">
        <v>35</v>
      </c>
      <c r="P174" s="181" t="s">
        <v>162</v>
      </c>
      <c r="Q174" s="182" t="s">
        <v>156</v>
      </c>
      <c r="R174" s="181">
        <f t="shared" ref="R174:R184" si="0">SUM(R155,R132,R96,R50,R4)</f>
        <v>7900</v>
      </c>
      <c r="S174" s="183"/>
    </row>
    <row r="175" spans="2:19">
      <c r="B175" s="121">
        <v>14</v>
      </c>
      <c r="F175" s="123">
        <v>13</v>
      </c>
      <c r="G175" s="123">
        <v>27</v>
      </c>
      <c r="K175" s="121">
        <v>36</v>
      </c>
      <c r="P175" s="181" t="s">
        <v>163</v>
      </c>
      <c r="Q175" s="182" t="s">
        <v>157</v>
      </c>
      <c r="R175" s="181">
        <f t="shared" si="0"/>
        <v>1450</v>
      </c>
      <c r="S175" s="184">
        <f>R175/$R$174</f>
        <v>0.18354430379746836</v>
      </c>
    </row>
    <row r="176" spans="2:19">
      <c r="B176" s="121">
        <v>15</v>
      </c>
      <c r="F176" s="123">
        <v>14</v>
      </c>
      <c r="G176" s="123">
        <v>28</v>
      </c>
      <c r="K176" s="121">
        <v>37</v>
      </c>
      <c r="P176" s="181" t="s">
        <v>164</v>
      </c>
      <c r="Q176" s="182" t="s">
        <v>159</v>
      </c>
      <c r="R176" s="181">
        <f t="shared" si="0"/>
        <v>610</v>
      </c>
      <c r="S176" s="184">
        <f>R176/$R$174</f>
        <v>7.7215189873417717E-2</v>
      </c>
    </row>
    <row r="177" spans="1:19">
      <c r="B177" s="121">
        <v>16</v>
      </c>
      <c r="F177" s="115"/>
      <c r="G177" s="115"/>
      <c r="K177" s="121">
        <v>38</v>
      </c>
      <c r="P177" s="181" t="s">
        <v>165</v>
      </c>
      <c r="Q177" s="182" t="s">
        <v>158</v>
      </c>
      <c r="R177" s="181">
        <f t="shared" si="0"/>
        <v>312.5</v>
      </c>
      <c r="S177" s="184">
        <f>R177/$R$174</f>
        <v>3.9556962025316458E-2</v>
      </c>
    </row>
    <row r="178" spans="1:19">
      <c r="B178" s="121">
        <v>17</v>
      </c>
      <c r="C178" s="115"/>
      <c r="D178" s="115"/>
      <c r="E178" s="115"/>
      <c r="F178" s="115"/>
      <c r="G178" s="115"/>
      <c r="H178" s="115"/>
      <c r="I178" s="115"/>
      <c r="J178" s="115"/>
      <c r="K178" s="121">
        <v>39</v>
      </c>
      <c r="P178" s="181" t="s">
        <v>166</v>
      </c>
      <c r="Q178" s="182" t="s">
        <v>161</v>
      </c>
      <c r="R178" s="181">
        <f t="shared" si="0"/>
        <v>1000</v>
      </c>
      <c r="S178" s="184">
        <f>R178/$R$174</f>
        <v>0.12658227848101267</v>
      </c>
    </row>
    <row r="179" spans="1:19">
      <c r="B179" s="121">
        <v>18</v>
      </c>
      <c r="C179" s="115"/>
      <c r="D179" s="115"/>
      <c r="E179" s="115"/>
      <c r="F179" s="115"/>
      <c r="G179" s="115"/>
      <c r="H179" s="115"/>
      <c r="I179" s="115"/>
      <c r="J179" s="115"/>
      <c r="K179" s="121">
        <v>40</v>
      </c>
      <c r="P179" s="181" t="s">
        <v>167</v>
      </c>
      <c r="Q179" s="182" t="s">
        <v>168</v>
      </c>
      <c r="R179" s="181">
        <f t="shared" si="0"/>
        <v>4527.5</v>
      </c>
      <c r="S179" s="184">
        <f>R179/$R$174</f>
        <v>0.57310126582278476</v>
      </c>
    </row>
    <row r="180" spans="1:19" ht="15.75" customHeight="1">
      <c r="B180" s="121">
        <v>19</v>
      </c>
      <c r="C180" s="126"/>
      <c r="D180" s="126"/>
      <c r="E180" s="126"/>
      <c r="F180" s="126"/>
      <c r="G180" s="126"/>
      <c r="H180" s="126"/>
      <c r="I180" s="126"/>
      <c r="J180" s="126"/>
      <c r="K180" s="121">
        <v>41</v>
      </c>
      <c r="P180" s="181" t="s">
        <v>146</v>
      </c>
      <c r="Q180" s="182" t="s">
        <v>160</v>
      </c>
      <c r="R180" s="181">
        <f t="shared" si="0"/>
        <v>16</v>
      </c>
      <c r="S180" s="183"/>
    </row>
    <row r="181" spans="1:19">
      <c r="B181" s="121">
        <v>20</v>
      </c>
      <c r="C181" s="126"/>
      <c r="D181" s="126"/>
      <c r="E181" s="126"/>
      <c r="F181" s="126"/>
      <c r="G181" s="126"/>
      <c r="H181" s="126"/>
      <c r="I181" s="126"/>
      <c r="J181" s="126"/>
      <c r="K181" s="121">
        <v>42</v>
      </c>
      <c r="P181" s="181" t="s">
        <v>204</v>
      </c>
      <c r="Q181" s="182" t="s">
        <v>207</v>
      </c>
      <c r="R181" s="181">
        <f t="shared" si="0"/>
        <v>5</v>
      </c>
      <c r="S181" s="183"/>
    </row>
    <row r="182" spans="1:19">
      <c r="B182" s="121">
        <v>21</v>
      </c>
      <c r="C182" s="126"/>
      <c r="D182" s="126"/>
      <c r="E182" s="126"/>
      <c r="F182" s="126"/>
      <c r="G182" s="126"/>
      <c r="H182" s="126"/>
      <c r="I182" s="126"/>
      <c r="J182" s="126"/>
      <c r="K182" s="121">
        <v>43</v>
      </c>
      <c r="P182" s="181" t="s">
        <v>205</v>
      </c>
      <c r="Q182" s="182" t="s">
        <v>208</v>
      </c>
      <c r="R182" s="181">
        <f t="shared" si="0"/>
        <v>5</v>
      </c>
      <c r="S182" s="183"/>
    </row>
    <row r="183" spans="1:19">
      <c r="B183" s="121">
        <v>22</v>
      </c>
      <c r="C183" s="126"/>
      <c r="D183" s="126"/>
      <c r="E183" s="126"/>
      <c r="F183" s="126"/>
      <c r="G183" s="126"/>
      <c r="H183" s="126"/>
      <c r="I183" s="126"/>
      <c r="J183" s="126"/>
      <c r="K183" s="121">
        <v>44</v>
      </c>
      <c r="P183" s="181" t="s">
        <v>206</v>
      </c>
      <c r="Q183" s="182" t="s">
        <v>209</v>
      </c>
      <c r="R183" s="181">
        <f t="shared" si="0"/>
        <v>16</v>
      </c>
      <c r="S183" s="183"/>
    </row>
    <row r="184" spans="1:19">
      <c r="B184" s="368"/>
      <c r="C184" s="369"/>
      <c r="D184" s="370"/>
      <c r="E184" s="115"/>
      <c r="F184" s="115"/>
      <c r="I184" s="368"/>
      <c r="J184" s="369"/>
      <c r="K184" s="370"/>
      <c r="P184" s="181" t="s">
        <v>210</v>
      </c>
      <c r="Q184" s="182" t="s">
        <v>211</v>
      </c>
      <c r="R184" s="181">
        <f t="shared" si="0"/>
        <v>4</v>
      </c>
      <c r="S184" s="183"/>
    </row>
    <row r="185" spans="1:19">
      <c r="P185" s="136"/>
      <c r="Q185" s="137"/>
      <c r="R185" s="136"/>
      <c r="S185" s="138">
        <f>SUM(S175:S179)</f>
        <v>1</v>
      </c>
    </row>
    <row r="187" spans="1:19" s="125" customFormat="1"/>
    <row r="188" spans="1:19" s="125" customFormat="1"/>
    <row r="189" spans="1:19">
      <c r="Q189" s="20"/>
      <c r="R189" s="20"/>
      <c r="S189" s="20"/>
    </row>
    <row r="191" spans="1:19" ht="16.2" thickBot="1"/>
    <row r="192" spans="1:19">
      <c r="A192" s="387" t="s">
        <v>151</v>
      </c>
      <c r="B192" s="388"/>
      <c r="C192" s="388"/>
      <c r="D192" s="388"/>
      <c r="E192" s="388"/>
      <c r="F192" s="388"/>
      <c r="G192" s="388"/>
      <c r="H192" s="388"/>
      <c r="I192" s="388"/>
      <c r="J192" s="388"/>
      <c r="K192" s="388"/>
      <c r="L192" s="128"/>
      <c r="M192" s="128">
        <f>SUM(M195,M230,M259)</f>
        <v>116</v>
      </c>
      <c r="N192" s="129" t="s">
        <v>153</v>
      </c>
      <c r="O192" s="371" t="s">
        <v>212</v>
      </c>
      <c r="P192" s="372"/>
      <c r="Q192" s="372"/>
    </row>
    <row r="193" spans="1:19" ht="16.2" thickBot="1">
      <c r="A193" s="389" t="s">
        <v>152</v>
      </c>
      <c r="B193" s="390"/>
      <c r="C193" s="390"/>
      <c r="D193" s="390"/>
      <c r="E193" s="390"/>
      <c r="F193" s="390"/>
      <c r="G193" s="390"/>
      <c r="H193" s="390"/>
      <c r="I193" s="390"/>
      <c r="J193" s="390"/>
      <c r="K193" s="390"/>
      <c r="L193" s="130"/>
      <c r="M193" s="130">
        <f>SUM(M196,M231,M260)</f>
        <v>52</v>
      </c>
      <c r="N193" s="131" t="s">
        <v>154</v>
      </c>
    </row>
    <row r="195" spans="1:19">
      <c r="B195" s="368" t="s">
        <v>146</v>
      </c>
      <c r="C195" s="369"/>
      <c r="D195" s="370"/>
      <c r="E195" s="115"/>
      <c r="F195" s="115"/>
      <c r="I195" s="368" t="s">
        <v>148</v>
      </c>
      <c r="J195" s="369"/>
      <c r="K195" s="370"/>
      <c r="M195">
        <f>J219</f>
        <v>42</v>
      </c>
      <c r="N195" t="s">
        <v>153</v>
      </c>
      <c r="P195" s="132" t="s">
        <v>162</v>
      </c>
      <c r="Q195" s="135" t="s">
        <v>156</v>
      </c>
      <c r="R195" s="132">
        <v>1500</v>
      </c>
      <c r="S195" s="4"/>
    </row>
    <row r="196" spans="1:19">
      <c r="B196" s="121">
        <v>1</v>
      </c>
      <c r="K196" s="121">
        <v>19</v>
      </c>
      <c r="M196">
        <f>G211</f>
        <v>18</v>
      </c>
      <c r="N196" t="s">
        <v>154</v>
      </c>
      <c r="P196" s="132" t="s">
        <v>163</v>
      </c>
      <c r="Q196" s="135" t="s">
        <v>157</v>
      </c>
      <c r="R196" s="132">
        <f>M195*2.5*2.5</f>
        <v>262.5</v>
      </c>
      <c r="S196" s="133">
        <f>R196/$R$195</f>
        <v>0.17499999999999999</v>
      </c>
    </row>
    <row r="197" spans="1:19">
      <c r="B197" s="121">
        <v>2</v>
      </c>
      <c r="K197" s="121">
        <v>20</v>
      </c>
      <c r="P197" s="132" t="s">
        <v>164</v>
      </c>
      <c r="Q197" s="135" t="s">
        <v>159</v>
      </c>
      <c r="R197" s="132">
        <f>M196*2*2.5</f>
        <v>90</v>
      </c>
      <c r="S197" s="133">
        <f>R197/$R$195</f>
        <v>0.06</v>
      </c>
    </row>
    <row r="198" spans="1:19">
      <c r="B198" s="121">
        <v>3</v>
      </c>
      <c r="K198" s="121">
        <v>21</v>
      </c>
      <c r="P198" s="132" t="s">
        <v>165</v>
      </c>
      <c r="Q198" s="135" t="s">
        <v>158</v>
      </c>
      <c r="R198" s="132">
        <f>((2.5*2.5*3)*2)+(2.5*2.5*4)</f>
        <v>62.5</v>
      </c>
      <c r="S198" s="133">
        <f>R198/$R$195</f>
        <v>4.1666666666666664E-2</v>
      </c>
    </row>
    <row r="199" spans="1:19">
      <c r="B199" s="121">
        <v>4</v>
      </c>
      <c r="K199" s="121">
        <v>22</v>
      </c>
      <c r="P199" s="132" t="s">
        <v>166</v>
      </c>
      <c r="Q199" s="135" t="s">
        <v>161</v>
      </c>
      <c r="R199" s="132">
        <f>10*20</f>
        <v>200</v>
      </c>
      <c r="S199" s="133">
        <f>R199/$R$195</f>
        <v>0.13333333333333333</v>
      </c>
    </row>
    <row r="200" spans="1:19">
      <c r="B200" s="121">
        <v>5</v>
      </c>
      <c r="K200" s="121">
        <v>23</v>
      </c>
      <c r="P200" s="132" t="s">
        <v>167</v>
      </c>
      <c r="Q200" s="135" t="s">
        <v>168</v>
      </c>
      <c r="R200" s="132">
        <f>R195-(R196+R197+R198+R199)</f>
        <v>885</v>
      </c>
      <c r="S200" s="133">
        <f>R200/$R$195</f>
        <v>0.59</v>
      </c>
    </row>
    <row r="201" spans="1:19">
      <c r="B201" s="121">
        <v>6</v>
      </c>
      <c r="K201" s="121">
        <v>24</v>
      </c>
      <c r="P201" s="132" t="s">
        <v>146</v>
      </c>
      <c r="Q201" s="135" t="s">
        <v>160</v>
      </c>
      <c r="R201" s="132">
        <v>3</v>
      </c>
      <c r="S201" s="4"/>
    </row>
    <row r="202" spans="1:19">
      <c r="B202" s="121">
        <v>7</v>
      </c>
      <c r="K202" s="121">
        <v>25</v>
      </c>
      <c r="P202" s="179" t="s">
        <v>204</v>
      </c>
      <c r="Q202" s="180" t="s">
        <v>207</v>
      </c>
      <c r="R202" s="132">
        <v>1</v>
      </c>
      <c r="S202" s="4"/>
    </row>
    <row r="203" spans="1:19">
      <c r="B203" s="121">
        <v>8</v>
      </c>
      <c r="F203" s="123">
        <v>1</v>
      </c>
      <c r="G203" s="123">
        <v>10</v>
      </c>
      <c r="K203" s="121">
        <v>26</v>
      </c>
      <c r="P203" s="179" t="s">
        <v>205</v>
      </c>
      <c r="Q203" s="180" t="s">
        <v>208</v>
      </c>
      <c r="R203" s="132">
        <v>1</v>
      </c>
      <c r="S203" s="4"/>
    </row>
    <row r="204" spans="1:19">
      <c r="B204" s="121">
        <v>9</v>
      </c>
      <c r="F204" s="123">
        <v>2</v>
      </c>
      <c r="G204" s="123">
        <v>11</v>
      </c>
      <c r="K204" s="121">
        <v>27</v>
      </c>
      <c r="P204" s="179" t="s">
        <v>206</v>
      </c>
      <c r="Q204" s="180" t="s">
        <v>209</v>
      </c>
      <c r="R204" s="179">
        <v>2</v>
      </c>
      <c r="S204" s="4"/>
    </row>
    <row r="205" spans="1:19">
      <c r="B205" s="121">
        <v>10</v>
      </c>
      <c r="F205" s="123">
        <v>3</v>
      </c>
      <c r="G205" s="123">
        <v>12</v>
      </c>
      <c r="K205" s="121">
        <v>28</v>
      </c>
      <c r="P205" s="179" t="s">
        <v>210</v>
      </c>
      <c r="Q205" s="180" t="s">
        <v>211</v>
      </c>
      <c r="R205" s="132">
        <v>1</v>
      </c>
      <c r="S205" s="4"/>
    </row>
    <row r="206" spans="1:19">
      <c r="B206" s="121">
        <v>11</v>
      </c>
      <c r="F206" s="123">
        <v>4</v>
      </c>
      <c r="G206" s="123">
        <v>13</v>
      </c>
      <c r="K206" s="121">
        <v>29</v>
      </c>
      <c r="S206" s="134">
        <f>SUM(S196:S200)</f>
        <v>1</v>
      </c>
    </row>
    <row r="207" spans="1:19">
      <c r="B207" s="121">
        <v>12</v>
      </c>
      <c r="F207" s="123">
        <v>5</v>
      </c>
      <c r="G207" s="123">
        <v>14</v>
      </c>
      <c r="K207" s="121">
        <v>30</v>
      </c>
    </row>
    <row r="208" spans="1:19">
      <c r="B208" s="121">
        <v>13</v>
      </c>
      <c r="F208" s="123">
        <v>6</v>
      </c>
      <c r="G208" s="123">
        <v>15</v>
      </c>
      <c r="K208" s="121">
        <v>31</v>
      </c>
    </row>
    <row r="209" spans="2:11">
      <c r="B209" s="121">
        <v>14</v>
      </c>
      <c r="F209" s="123">
        <v>7</v>
      </c>
      <c r="G209" s="123">
        <v>16</v>
      </c>
      <c r="K209" s="121">
        <v>32</v>
      </c>
    </row>
    <row r="210" spans="2:11">
      <c r="B210" s="121">
        <v>15</v>
      </c>
      <c r="F210" s="123">
        <v>8</v>
      </c>
      <c r="G210" s="123">
        <v>17</v>
      </c>
      <c r="K210" s="121">
        <v>33</v>
      </c>
    </row>
    <row r="211" spans="2:11">
      <c r="B211" s="121">
        <v>16</v>
      </c>
      <c r="F211" s="123">
        <v>9</v>
      </c>
      <c r="G211" s="123">
        <v>18</v>
      </c>
      <c r="K211" s="121">
        <v>34</v>
      </c>
    </row>
    <row r="212" spans="2:11">
      <c r="B212" s="121">
        <v>17</v>
      </c>
      <c r="F212" s="116"/>
      <c r="G212" s="116"/>
      <c r="K212" s="121">
        <v>35</v>
      </c>
    </row>
    <row r="213" spans="2:11">
      <c r="B213" s="121">
        <v>18</v>
      </c>
      <c r="F213" s="115"/>
      <c r="G213" s="115"/>
      <c r="K213" s="121">
        <v>36</v>
      </c>
    </row>
    <row r="214" spans="2:11">
      <c r="B214" s="118"/>
      <c r="F214" s="115"/>
      <c r="G214" s="115"/>
      <c r="K214" s="118"/>
    </row>
    <row r="215" spans="2:11">
      <c r="B215" s="116"/>
      <c r="F215" s="115"/>
      <c r="G215" s="115"/>
      <c r="K215" s="116"/>
    </row>
    <row r="216" spans="2:11">
      <c r="B216" s="115"/>
      <c r="F216" s="115"/>
      <c r="G216" s="115"/>
      <c r="K216" s="115"/>
    </row>
    <row r="217" spans="2:11">
      <c r="B217" s="115"/>
      <c r="F217" s="115"/>
      <c r="G217" s="115"/>
      <c r="K217" s="115"/>
    </row>
    <row r="218" spans="2:11">
      <c r="B218" s="120"/>
      <c r="F218" s="115"/>
      <c r="G218" s="115"/>
      <c r="K218" s="120"/>
    </row>
    <row r="219" spans="2:11">
      <c r="B219" s="118"/>
      <c r="C219" s="121">
        <v>37</v>
      </c>
      <c r="D219" s="121">
        <v>38</v>
      </c>
      <c r="E219" s="383">
        <v>39</v>
      </c>
      <c r="F219" s="384"/>
      <c r="G219" s="383">
        <v>40</v>
      </c>
      <c r="H219" s="384"/>
      <c r="I219" s="121">
        <v>41</v>
      </c>
      <c r="J219" s="121">
        <v>42</v>
      </c>
      <c r="K219" s="118"/>
    </row>
    <row r="220" spans="2:11">
      <c r="B220" s="373" t="s">
        <v>147</v>
      </c>
      <c r="C220" s="374"/>
      <c r="D220" s="374"/>
      <c r="E220" s="374"/>
      <c r="F220" s="374"/>
      <c r="G220" s="374"/>
      <c r="H220" s="374"/>
      <c r="I220" s="374"/>
      <c r="J220" s="374"/>
      <c r="K220" s="375"/>
    </row>
    <row r="221" spans="2:11">
      <c r="B221" s="376"/>
      <c r="C221" s="377"/>
      <c r="D221" s="377"/>
      <c r="E221" s="377"/>
      <c r="F221" s="377"/>
      <c r="G221" s="377"/>
      <c r="H221" s="377"/>
      <c r="I221" s="377"/>
      <c r="J221" s="377"/>
      <c r="K221" s="378"/>
    </row>
    <row r="222" spans="2:11">
      <c r="B222" s="376"/>
      <c r="C222" s="377"/>
      <c r="D222" s="377"/>
      <c r="E222" s="377"/>
      <c r="F222" s="377"/>
      <c r="G222" s="377"/>
      <c r="H222" s="377"/>
      <c r="I222" s="377"/>
      <c r="J222" s="377"/>
      <c r="K222" s="378"/>
    </row>
    <row r="223" spans="2:11">
      <c r="B223" s="376"/>
      <c r="C223" s="377"/>
      <c r="D223" s="377"/>
      <c r="E223" s="377"/>
      <c r="F223" s="377"/>
      <c r="G223" s="377"/>
      <c r="H223" s="377"/>
      <c r="I223" s="377"/>
      <c r="J223" s="377"/>
      <c r="K223" s="378"/>
    </row>
    <row r="224" spans="2:11">
      <c r="B224" s="379"/>
      <c r="C224" s="380"/>
      <c r="D224" s="380"/>
      <c r="E224" s="380"/>
      <c r="F224" s="380"/>
      <c r="G224" s="380"/>
      <c r="H224" s="380"/>
      <c r="I224" s="380"/>
      <c r="J224" s="380"/>
      <c r="K224" s="381"/>
    </row>
    <row r="227" spans="1:19">
      <c r="A227" s="382" t="s">
        <v>151</v>
      </c>
      <c r="B227" s="382"/>
      <c r="C227" s="382"/>
      <c r="D227" s="382"/>
      <c r="E227" s="382"/>
      <c r="F227" s="382"/>
      <c r="G227" s="382"/>
      <c r="H227" s="382"/>
      <c r="I227" s="382"/>
      <c r="J227" s="382"/>
      <c r="K227" s="382"/>
    </row>
    <row r="228" spans="1:19">
      <c r="A228" s="382" t="s">
        <v>155</v>
      </c>
      <c r="B228" s="382"/>
      <c r="C228" s="382"/>
      <c r="D228" s="382"/>
      <c r="E228" s="382"/>
      <c r="F228" s="382"/>
      <c r="G228" s="382"/>
      <c r="H228" s="382"/>
      <c r="I228" s="382"/>
      <c r="J228" s="382"/>
      <c r="K228" s="382"/>
    </row>
    <row r="230" spans="1:19">
      <c r="B230" s="368" t="s">
        <v>146</v>
      </c>
      <c r="C230" s="369"/>
      <c r="D230" s="370"/>
      <c r="E230" s="115"/>
      <c r="F230" s="115"/>
      <c r="I230" s="368" t="s">
        <v>148</v>
      </c>
      <c r="J230" s="369"/>
      <c r="K230" s="370"/>
      <c r="M230">
        <f>J248</f>
        <v>30</v>
      </c>
      <c r="N230" t="s">
        <v>153</v>
      </c>
      <c r="P230" s="132" t="s">
        <v>162</v>
      </c>
      <c r="Q230" s="135" t="s">
        <v>156</v>
      </c>
      <c r="R230" s="132">
        <v>1200</v>
      </c>
      <c r="S230" s="4"/>
    </row>
    <row r="231" spans="1:19">
      <c r="B231" s="121">
        <v>1</v>
      </c>
      <c r="K231" s="121">
        <v>13</v>
      </c>
      <c r="M231">
        <f>G240</f>
        <v>6</v>
      </c>
      <c r="N231" t="s">
        <v>154</v>
      </c>
      <c r="P231" s="132" t="s">
        <v>163</v>
      </c>
      <c r="Q231" s="135" t="s">
        <v>157</v>
      </c>
      <c r="R231" s="132">
        <f>M230*2.5*2.5</f>
        <v>187.5</v>
      </c>
      <c r="S231" s="133">
        <f>R231/$R$230</f>
        <v>0.15625</v>
      </c>
    </row>
    <row r="232" spans="1:19">
      <c r="B232" s="121">
        <v>2</v>
      </c>
      <c r="K232" s="121">
        <v>14</v>
      </c>
      <c r="P232" s="132" t="s">
        <v>164</v>
      </c>
      <c r="Q232" s="135" t="s">
        <v>159</v>
      </c>
      <c r="R232" s="132">
        <f>M231*2*2.5</f>
        <v>30</v>
      </c>
      <c r="S232" s="133">
        <f>R232/$R$230</f>
        <v>2.5000000000000001E-2</v>
      </c>
    </row>
    <row r="233" spans="1:19">
      <c r="B233" s="121">
        <v>3</v>
      </c>
      <c r="K233" s="121">
        <v>15</v>
      </c>
      <c r="P233" s="132" t="s">
        <v>165</v>
      </c>
      <c r="Q233" s="135" t="s">
        <v>158</v>
      </c>
      <c r="R233" s="132">
        <f>((2.5*2.5*3)*2)+(2.5*2.5*4)</f>
        <v>62.5</v>
      </c>
      <c r="S233" s="133">
        <f>R233/$R$230</f>
        <v>5.2083333333333336E-2</v>
      </c>
    </row>
    <row r="234" spans="1:19">
      <c r="B234" s="121">
        <v>4</v>
      </c>
      <c r="K234" s="121">
        <v>16</v>
      </c>
      <c r="P234" s="132" t="s">
        <v>166</v>
      </c>
      <c r="Q234" s="135" t="s">
        <v>161</v>
      </c>
      <c r="R234" s="132">
        <f>10*20</f>
        <v>200</v>
      </c>
      <c r="S234" s="133">
        <f>R234/$R$230</f>
        <v>0.16666666666666666</v>
      </c>
    </row>
    <row r="235" spans="1:19">
      <c r="B235" s="121">
        <v>5</v>
      </c>
      <c r="K235" s="121">
        <v>17</v>
      </c>
      <c r="P235" s="132" t="s">
        <v>167</v>
      </c>
      <c r="Q235" s="135" t="s">
        <v>168</v>
      </c>
      <c r="R235" s="132">
        <f>R230-R231-R232-R233-R234</f>
        <v>720</v>
      </c>
      <c r="S235" s="133">
        <f>R235/$R$230</f>
        <v>0.6</v>
      </c>
    </row>
    <row r="236" spans="1:19">
      <c r="B236" s="121">
        <v>6</v>
      </c>
      <c r="K236" s="121">
        <v>18</v>
      </c>
      <c r="P236" s="132" t="s">
        <v>146</v>
      </c>
      <c r="Q236" s="135" t="s">
        <v>160</v>
      </c>
      <c r="R236" s="132">
        <v>3</v>
      </c>
      <c r="S236" s="4"/>
    </row>
    <row r="237" spans="1:19">
      <c r="B237" s="121">
        <v>7</v>
      </c>
      <c r="K237" s="121">
        <v>19</v>
      </c>
      <c r="P237" s="179" t="s">
        <v>204</v>
      </c>
      <c r="Q237" s="180" t="s">
        <v>207</v>
      </c>
      <c r="R237" s="132">
        <v>1</v>
      </c>
      <c r="S237" s="4"/>
    </row>
    <row r="238" spans="1:19">
      <c r="B238" s="121">
        <v>8</v>
      </c>
      <c r="F238" s="122">
        <v>1</v>
      </c>
      <c r="G238" s="127">
        <v>4</v>
      </c>
      <c r="K238" s="121">
        <v>20</v>
      </c>
      <c r="P238" s="179" t="s">
        <v>205</v>
      </c>
      <c r="Q238" s="180" t="s">
        <v>208</v>
      </c>
      <c r="R238" s="132">
        <v>1</v>
      </c>
      <c r="S238" s="4"/>
    </row>
    <row r="239" spans="1:19">
      <c r="B239" s="121">
        <v>9</v>
      </c>
      <c r="F239" s="122">
        <v>2</v>
      </c>
      <c r="G239" s="127">
        <v>5</v>
      </c>
      <c r="K239" s="121">
        <v>21</v>
      </c>
      <c r="P239" s="179" t="s">
        <v>206</v>
      </c>
      <c r="Q239" s="180" t="s">
        <v>209</v>
      </c>
      <c r="R239" s="179">
        <v>2</v>
      </c>
      <c r="S239" s="4"/>
    </row>
    <row r="240" spans="1:19">
      <c r="B240" s="121">
        <v>10</v>
      </c>
      <c r="F240" s="122">
        <v>3</v>
      </c>
      <c r="G240" s="127">
        <v>6</v>
      </c>
      <c r="K240" s="121">
        <v>22</v>
      </c>
      <c r="P240" s="179" t="s">
        <v>210</v>
      </c>
      <c r="Q240" s="180" t="s">
        <v>211</v>
      </c>
      <c r="R240" s="132">
        <v>1</v>
      </c>
      <c r="S240" s="4"/>
    </row>
    <row r="241" spans="1:19">
      <c r="B241" s="121">
        <v>11</v>
      </c>
      <c r="K241" s="121">
        <v>23</v>
      </c>
      <c r="S241" s="134">
        <f>SUM(S231:S235)</f>
        <v>1</v>
      </c>
    </row>
    <row r="242" spans="1:19">
      <c r="B242" s="121">
        <v>12</v>
      </c>
      <c r="K242" s="121">
        <v>24</v>
      </c>
    </row>
    <row r="243" spans="1:19">
      <c r="B243" s="118"/>
      <c r="F243" s="115"/>
      <c r="G243" s="115"/>
      <c r="K243" s="118"/>
    </row>
    <row r="244" spans="1:19">
      <c r="B244" s="116"/>
      <c r="F244" s="115"/>
      <c r="G244" s="115"/>
      <c r="K244" s="116"/>
    </row>
    <row r="245" spans="1:19">
      <c r="B245" s="115"/>
      <c r="F245" s="115"/>
      <c r="G245" s="115"/>
      <c r="K245" s="115"/>
    </row>
    <row r="246" spans="1:19">
      <c r="B246" s="115"/>
      <c r="F246" s="115"/>
      <c r="G246" s="115"/>
      <c r="K246" s="115"/>
    </row>
    <row r="247" spans="1:19">
      <c r="B247" s="120"/>
      <c r="F247" s="115"/>
      <c r="G247" s="115"/>
      <c r="K247" s="120"/>
    </row>
    <row r="248" spans="1:19">
      <c r="B248" s="118"/>
      <c r="C248" s="121">
        <v>25</v>
      </c>
      <c r="D248" s="121">
        <v>26</v>
      </c>
      <c r="E248" s="383">
        <v>27</v>
      </c>
      <c r="F248" s="384"/>
      <c r="G248" s="383">
        <v>28</v>
      </c>
      <c r="H248" s="384"/>
      <c r="I248" s="121">
        <v>29</v>
      </c>
      <c r="J248" s="121">
        <v>30</v>
      </c>
      <c r="K248" s="118"/>
    </row>
    <row r="249" spans="1:19">
      <c r="B249" s="373" t="s">
        <v>147</v>
      </c>
      <c r="C249" s="374"/>
      <c r="D249" s="374"/>
      <c r="E249" s="374"/>
      <c r="F249" s="374"/>
      <c r="G249" s="374"/>
      <c r="H249" s="374"/>
      <c r="I249" s="374"/>
      <c r="J249" s="374"/>
      <c r="K249" s="375"/>
    </row>
    <row r="250" spans="1:19">
      <c r="B250" s="376"/>
      <c r="C250" s="377"/>
      <c r="D250" s="377"/>
      <c r="E250" s="377"/>
      <c r="F250" s="377"/>
      <c r="G250" s="377"/>
      <c r="H250" s="377"/>
      <c r="I250" s="377"/>
      <c r="J250" s="377"/>
      <c r="K250" s="378"/>
    </row>
    <row r="251" spans="1:19">
      <c r="B251" s="376"/>
      <c r="C251" s="377"/>
      <c r="D251" s="377"/>
      <c r="E251" s="377"/>
      <c r="F251" s="377"/>
      <c r="G251" s="377"/>
      <c r="H251" s="377"/>
      <c r="I251" s="377"/>
      <c r="J251" s="377"/>
      <c r="K251" s="378"/>
    </row>
    <row r="252" spans="1:19">
      <c r="B252" s="376"/>
      <c r="C252" s="377"/>
      <c r="D252" s="377"/>
      <c r="E252" s="377"/>
      <c r="F252" s="377"/>
      <c r="G252" s="377"/>
      <c r="H252" s="377"/>
      <c r="I252" s="377"/>
      <c r="J252" s="377"/>
      <c r="K252" s="378"/>
    </row>
    <row r="253" spans="1:19">
      <c r="B253" s="379"/>
      <c r="C253" s="380"/>
      <c r="D253" s="380"/>
      <c r="E253" s="380"/>
      <c r="F253" s="380"/>
      <c r="G253" s="380"/>
      <c r="H253" s="380"/>
      <c r="I253" s="380"/>
      <c r="J253" s="380"/>
      <c r="K253" s="381"/>
    </row>
    <row r="256" spans="1:19">
      <c r="A256" s="382" t="s">
        <v>151</v>
      </c>
      <c r="B256" s="382"/>
      <c r="C256" s="382"/>
      <c r="D256" s="382"/>
      <c r="E256" s="382"/>
      <c r="F256" s="382"/>
      <c r="G256" s="382"/>
      <c r="H256" s="382"/>
      <c r="I256" s="382"/>
      <c r="J256" s="382"/>
      <c r="K256" s="382"/>
    </row>
    <row r="257" spans="1:19">
      <c r="A257" s="382" t="s">
        <v>145</v>
      </c>
      <c r="B257" s="382"/>
      <c r="C257" s="382"/>
      <c r="D257" s="382"/>
      <c r="E257" s="382"/>
      <c r="F257" s="382"/>
      <c r="G257" s="382"/>
      <c r="H257" s="382"/>
      <c r="I257" s="382"/>
      <c r="J257" s="382"/>
      <c r="K257" s="382"/>
    </row>
    <row r="259" spans="1:19">
      <c r="B259" s="368" t="s">
        <v>146</v>
      </c>
      <c r="C259" s="369"/>
      <c r="D259" s="370"/>
      <c r="E259" s="115"/>
      <c r="F259" s="115"/>
      <c r="I259" s="368" t="s">
        <v>148</v>
      </c>
      <c r="J259" s="369"/>
      <c r="K259" s="370"/>
      <c r="M259">
        <f>K287</f>
        <v>44</v>
      </c>
      <c r="N259" t="s">
        <v>153</v>
      </c>
      <c r="P259" s="132" t="s">
        <v>162</v>
      </c>
      <c r="Q259" s="135" t="s">
        <v>156</v>
      </c>
      <c r="R259" s="132">
        <v>1500</v>
      </c>
      <c r="S259" s="4"/>
    </row>
    <row r="260" spans="1:19">
      <c r="B260" s="121">
        <v>1</v>
      </c>
      <c r="K260" s="121">
        <v>23</v>
      </c>
      <c r="M260">
        <f>G280</f>
        <v>28</v>
      </c>
      <c r="N260" t="s">
        <v>154</v>
      </c>
      <c r="P260" s="132" t="s">
        <v>163</v>
      </c>
      <c r="Q260" s="135" t="s">
        <v>157</v>
      </c>
      <c r="R260" s="132">
        <f>M259*2.5*2.5</f>
        <v>275</v>
      </c>
      <c r="S260" s="133">
        <f>R260/$R$259</f>
        <v>0.18333333333333332</v>
      </c>
    </row>
    <row r="261" spans="1:19">
      <c r="B261" s="121">
        <v>2</v>
      </c>
      <c r="K261" s="121">
        <v>24</v>
      </c>
      <c r="P261" s="132" t="s">
        <v>164</v>
      </c>
      <c r="Q261" s="135" t="s">
        <v>159</v>
      </c>
      <c r="R261" s="132">
        <f>G280*2*2.5</f>
        <v>140</v>
      </c>
      <c r="S261" s="133">
        <f>R261/$R$259</f>
        <v>9.3333333333333338E-2</v>
      </c>
    </row>
    <row r="262" spans="1:19">
      <c r="B262" s="121">
        <v>3</v>
      </c>
      <c r="K262" s="121">
        <v>25</v>
      </c>
      <c r="P262" s="132" t="s">
        <v>165</v>
      </c>
      <c r="Q262" s="135" t="s">
        <v>158</v>
      </c>
      <c r="R262" s="132">
        <f>((2.5*2.5*3)*4)</f>
        <v>75</v>
      </c>
      <c r="S262" s="133">
        <f>R262/$R$259</f>
        <v>0.05</v>
      </c>
    </row>
    <row r="263" spans="1:19">
      <c r="B263" s="121">
        <v>4</v>
      </c>
      <c r="K263" s="121">
        <v>26</v>
      </c>
      <c r="P263" s="132" t="s">
        <v>166</v>
      </c>
      <c r="Q263" s="135" t="s">
        <v>169</v>
      </c>
      <c r="R263" s="132">
        <f>R259-R260-R261-R262</f>
        <v>1010</v>
      </c>
      <c r="S263" s="133">
        <f>R263/$R$259</f>
        <v>0.67333333333333334</v>
      </c>
    </row>
    <row r="264" spans="1:19">
      <c r="B264" s="121">
        <v>5</v>
      </c>
      <c r="K264" s="121">
        <v>27</v>
      </c>
      <c r="P264" s="132" t="s">
        <v>167</v>
      </c>
      <c r="Q264" s="135" t="s">
        <v>160</v>
      </c>
      <c r="R264" s="132">
        <v>4</v>
      </c>
      <c r="S264" s="4"/>
    </row>
    <row r="265" spans="1:19">
      <c r="B265" s="121">
        <v>6</v>
      </c>
      <c r="K265" s="121">
        <v>28</v>
      </c>
      <c r="P265" s="179" t="s">
        <v>204</v>
      </c>
      <c r="Q265" s="180" t="s">
        <v>207</v>
      </c>
      <c r="R265" s="132">
        <v>1</v>
      </c>
      <c r="S265" s="4"/>
    </row>
    <row r="266" spans="1:19">
      <c r="B266" s="121">
        <v>7</v>
      </c>
      <c r="K266" s="121">
        <v>29</v>
      </c>
      <c r="P266" s="179" t="s">
        <v>205</v>
      </c>
      <c r="Q266" s="180" t="s">
        <v>208</v>
      </c>
      <c r="R266" s="132">
        <v>1</v>
      </c>
      <c r="S266" s="4"/>
    </row>
    <row r="267" spans="1:19">
      <c r="B267" s="121">
        <v>8</v>
      </c>
      <c r="F267" s="123">
        <v>1</v>
      </c>
      <c r="G267" s="123">
        <v>15</v>
      </c>
      <c r="K267" s="121">
        <v>30</v>
      </c>
      <c r="P267" s="179" t="s">
        <v>206</v>
      </c>
      <c r="Q267" s="180" t="s">
        <v>209</v>
      </c>
      <c r="R267" s="179">
        <v>4</v>
      </c>
      <c r="S267" s="4"/>
    </row>
    <row r="268" spans="1:19">
      <c r="B268" s="121">
        <v>9</v>
      </c>
      <c r="F268" s="123">
        <v>2</v>
      </c>
      <c r="G268" s="123">
        <v>16</v>
      </c>
      <c r="K268" s="121">
        <v>31</v>
      </c>
      <c r="P268" s="179" t="s">
        <v>210</v>
      </c>
      <c r="Q268" s="180" t="s">
        <v>211</v>
      </c>
      <c r="R268" s="132">
        <v>0</v>
      </c>
      <c r="S268" s="4"/>
    </row>
    <row r="269" spans="1:19">
      <c r="B269" s="121">
        <v>10</v>
      </c>
      <c r="F269" s="123">
        <v>3</v>
      </c>
      <c r="G269" s="123">
        <v>17</v>
      </c>
      <c r="K269" s="121">
        <v>32</v>
      </c>
      <c r="S269" s="134">
        <f>SUM(S260:S263)</f>
        <v>1</v>
      </c>
    </row>
    <row r="270" spans="1:19">
      <c r="B270" s="121">
        <v>11</v>
      </c>
      <c r="F270" s="123">
        <v>4</v>
      </c>
      <c r="G270" s="123">
        <v>18</v>
      </c>
      <c r="K270" s="121">
        <v>33</v>
      </c>
    </row>
    <row r="271" spans="1:19">
      <c r="B271" s="118"/>
      <c r="F271" s="123">
        <v>5</v>
      </c>
      <c r="G271" s="123">
        <v>19</v>
      </c>
      <c r="K271" s="118"/>
    </row>
    <row r="272" spans="1:19">
      <c r="B272" s="116"/>
      <c r="F272" s="123">
        <v>6</v>
      </c>
      <c r="G272" s="123">
        <v>20</v>
      </c>
      <c r="K272" s="116"/>
    </row>
    <row r="273" spans="2:19">
      <c r="B273" s="115"/>
      <c r="F273" s="123">
        <v>7</v>
      </c>
      <c r="G273" s="123">
        <v>21</v>
      </c>
      <c r="K273" s="115"/>
    </row>
    <row r="274" spans="2:19">
      <c r="B274" s="115"/>
      <c r="F274" s="123">
        <v>8</v>
      </c>
      <c r="G274" s="123">
        <v>22</v>
      </c>
      <c r="K274" s="115"/>
    </row>
    <row r="275" spans="2:19">
      <c r="B275" s="120"/>
      <c r="F275" s="123">
        <v>9</v>
      </c>
      <c r="G275" s="123">
        <v>23</v>
      </c>
      <c r="K275" s="120"/>
    </row>
    <row r="276" spans="2:19">
      <c r="B276" s="118"/>
      <c r="F276" s="123">
        <v>10</v>
      </c>
      <c r="G276" s="123">
        <v>24</v>
      </c>
      <c r="K276" s="118"/>
      <c r="P276" s="385" t="s">
        <v>174</v>
      </c>
      <c r="Q276" s="385"/>
      <c r="R276" s="385"/>
      <c r="S276" s="385"/>
    </row>
    <row r="277" spans="2:19">
      <c r="B277" s="121">
        <v>12</v>
      </c>
      <c r="F277" s="123">
        <v>11</v>
      </c>
      <c r="G277" s="123">
        <v>25</v>
      </c>
      <c r="K277" s="121">
        <v>34</v>
      </c>
      <c r="P277" s="181" t="s">
        <v>162</v>
      </c>
      <c r="Q277" s="182" t="s">
        <v>156</v>
      </c>
      <c r="R277" s="181">
        <f>SUM(R259,R230,R195)</f>
        <v>4200</v>
      </c>
      <c r="S277" s="183"/>
    </row>
    <row r="278" spans="2:19">
      <c r="B278" s="121">
        <v>13</v>
      </c>
      <c r="F278" s="123">
        <v>12</v>
      </c>
      <c r="G278" s="123">
        <v>26</v>
      </c>
      <c r="K278" s="121">
        <v>35</v>
      </c>
      <c r="P278" s="181" t="s">
        <v>163</v>
      </c>
      <c r="Q278" s="182" t="s">
        <v>157</v>
      </c>
      <c r="R278" s="181">
        <f>SUM(R260,R231,R196)</f>
        <v>725</v>
      </c>
      <c r="S278" s="184">
        <f>R278/$R$277</f>
        <v>0.17261904761904762</v>
      </c>
    </row>
    <row r="279" spans="2:19">
      <c r="B279" s="121">
        <v>14</v>
      </c>
      <c r="F279" s="123">
        <v>13</v>
      </c>
      <c r="G279" s="123">
        <v>27</v>
      </c>
      <c r="K279" s="121">
        <v>36</v>
      </c>
      <c r="P279" s="181" t="s">
        <v>164</v>
      </c>
      <c r="Q279" s="182" t="s">
        <v>159</v>
      </c>
      <c r="R279" s="181">
        <f>SUM(R261,R232,R197)</f>
        <v>260</v>
      </c>
      <c r="S279" s="184">
        <f>R279/$R$277</f>
        <v>6.1904761904761907E-2</v>
      </c>
    </row>
    <row r="280" spans="2:19">
      <c r="B280" s="121">
        <v>15</v>
      </c>
      <c r="F280" s="123">
        <v>14</v>
      </c>
      <c r="G280" s="123">
        <v>28</v>
      </c>
      <c r="K280" s="121">
        <v>37</v>
      </c>
      <c r="P280" s="181" t="s">
        <v>165</v>
      </c>
      <c r="Q280" s="182" t="s">
        <v>158</v>
      </c>
      <c r="R280" s="181">
        <f>SUM(R262,R239,R203,R157,R111)</f>
        <v>218</v>
      </c>
      <c r="S280" s="184">
        <f>R280/$R$277</f>
        <v>5.1904761904761905E-2</v>
      </c>
    </row>
    <row r="281" spans="2:19">
      <c r="B281" s="121">
        <v>16</v>
      </c>
      <c r="F281" s="115"/>
      <c r="G281" s="115"/>
      <c r="K281" s="121">
        <v>38</v>
      </c>
      <c r="P281" s="181" t="s">
        <v>166</v>
      </c>
      <c r="Q281" s="182" t="s">
        <v>161</v>
      </c>
      <c r="R281" s="181">
        <f>SUM(R234,R199)</f>
        <v>400</v>
      </c>
      <c r="S281" s="184">
        <f>R281/$R$277</f>
        <v>9.5238095238095233E-2</v>
      </c>
    </row>
    <row r="282" spans="2:19">
      <c r="B282" s="121">
        <v>17</v>
      </c>
      <c r="C282" s="115"/>
      <c r="D282" s="115"/>
      <c r="E282" s="115"/>
      <c r="F282" s="115"/>
      <c r="G282" s="115"/>
      <c r="H282" s="115"/>
      <c r="I282" s="115"/>
      <c r="J282" s="115"/>
      <c r="K282" s="121">
        <v>39</v>
      </c>
      <c r="P282" s="181" t="s">
        <v>167</v>
      </c>
      <c r="Q282" s="182" t="s">
        <v>168</v>
      </c>
      <c r="R282" s="181">
        <f>SUM(R263,R235,R200)</f>
        <v>2615</v>
      </c>
      <c r="S282" s="184">
        <f>R282/$R$277</f>
        <v>0.62261904761904763</v>
      </c>
    </row>
    <row r="283" spans="2:19">
      <c r="B283" s="121">
        <v>18</v>
      </c>
      <c r="C283" s="115"/>
      <c r="D283" s="115"/>
      <c r="E283" s="115"/>
      <c r="F283" s="115"/>
      <c r="G283" s="115"/>
      <c r="H283" s="115"/>
      <c r="I283" s="115"/>
      <c r="J283" s="115"/>
      <c r="K283" s="121">
        <v>40</v>
      </c>
      <c r="P283" s="181" t="s">
        <v>146</v>
      </c>
      <c r="Q283" s="182" t="s">
        <v>160</v>
      </c>
      <c r="R283" s="181">
        <f>SUM(R264,R236,R201)</f>
        <v>10</v>
      </c>
      <c r="S283" s="183"/>
    </row>
    <row r="284" spans="2:19">
      <c r="B284" s="121">
        <v>19</v>
      </c>
      <c r="C284" s="126"/>
      <c r="D284" s="126"/>
      <c r="E284" s="126"/>
      <c r="F284" s="126"/>
      <c r="G284" s="126"/>
      <c r="H284" s="126"/>
      <c r="I284" s="126"/>
      <c r="J284" s="126"/>
      <c r="K284" s="121">
        <v>41</v>
      </c>
      <c r="P284" s="181" t="s">
        <v>204</v>
      </c>
      <c r="Q284" s="182" t="s">
        <v>207</v>
      </c>
      <c r="R284" s="181">
        <v>3</v>
      </c>
      <c r="S284" s="183"/>
    </row>
    <row r="285" spans="2:19">
      <c r="B285" s="121">
        <v>20</v>
      </c>
      <c r="C285" s="126"/>
      <c r="D285" s="126"/>
      <c r="E285" s="126"/>
      <c r="F285" s="126"/>
      <c r="G285" s="126"/>
      <c r="H285" s="126"/>
      <c r="I285" s="126"/>
      <c r="J285" s="126"/>
      <c r="K285" s="121">
        <v>42</v>
      </c>
      <c r="P285" s="181" t="s">
        <v>205</v>
      </c>
      <c r="Q285" s="182" t="s">
        <v>208</v>
      </c>
      <c r="R285" s="181">
        <v>3</v>
      </c>
      <c r="S285" s="183"/>
    </row>
    <row r="286" spans="2:19">
      <c r="B286" s="121">
        <v>21</v>
      </c>
      <c r="C286" s="126"/>
      <c r="D286" s="126"/>
      <c r="E286" s="126"/>
      <c r="F286" s="126"/>
      <c r="G286" s="126"/>
      <c r="H286" s="126"/>
      <c r="I286" s="126"/>
      <c r="J286" s="126"/>
      <c r="K286" s="121">
        <v>43</v>
      </c>
      <c r="P286" s="181" t="s">
        <v>206</v>
      </c>
      <c r="Q286" s="182" t="s">
        <v>209</v>
      </c>
      <c r="R286" s="181">
        <f>SUM(R267,R239,R204)</f>
        <v>8</v>
      </c>
      <c r="S286" s="183"/>
    </row>
    <row r="287" spans="2:19">
      <c r="B287" s="121">
        <v>22</v>
      </c>
      <c r="C287" s="126"/>
      <c r="D287" s="126"/>
      <c r="E287" s="126"/>
      <c r="F287" s="126"/>
      <c r="G287" s="126"/>
      <c r="H287" s="126"/>
      <c r="I287" s="126"/>
      <c r="J287" s="126"/>
      <c r="K287" s="121">
        <v>44</v>
      </c>
      <c r="P287" s="181" t="s">
        <v>210</v>
      </c>
      <c r="Q287" s="182" t="s">
        <v>211</v>
      </c>
      <c r="R287" s="181">
        <f>SUM(R268,R240,R205)</f>
        <v>2</v>
      </c>
      <c r="S287" s="183"/>
    </row>
    <row r="288" spans="2:19">
      <c r="B288" s="368"/>
      <c r="C288" s="369"/>
      <c r="D288" s="370"/>
      <c r="E288" s="115"/>
      <c r="F288" s="115"/>
      <c r="I288" s="368"/>
      <c r="J288" s="369"/>
      <c r="K288" s="370"/>
      <c r="S288" s="138">
        <f>SUM(S278:S282)</f>
        <v>1.0042857142857142</v>
      </c>
    </row>
  </sheetData>
  <mergeCells count="58">
    <mergeCell ref="A1:K1"/>
    <mergeCell ref="A2:K2"/>
    <mergeCell ref="A47:K47"/>
    <mergeCell ref="A48:K48"/>
    <mergeCell ref="B121:K125"/>
    <mergeCell ref="G120:H120"/>
    <mergeCell ref="E120:F120"/>
    <mergeCell ref="A93:K93"/>
    <mergeCell ref="A94:K94"/>
    <mergeCell ref="B4:D4"/>
    <mergeCell ref="I4:K4"/>
    <mergeCell ref="G38:H38"/>
    <mergeCell ref="E38:F38"/>
    <mergeCell ref="E84:F84"/>
    <mergeCell ref="P276:S276"/>
    <mergeCell ref="A129:K129"/>
    <mergeCell ref="A130:K130"/>
    <mergeCell ref="B39:K43"/>
    <mergeCell ref="B85:K89"/>
    <mergeCell ref="E145:F145"/>
    <mergeCell ref="G84:H84"/>
    <mergeCell ref="P173:S173"/>
    <mergeCell ref="B184:D184"/>
    <mergeCell ref="O192:Q192"/>
    <mergeCell ref="G145:H145"/>
    <mergeCell ref="B249:K253"/>
    <mergeCell ref="A192:K192"/>
    <mergeCell ref="A193:K193"/>
    <mergeCell ref="E219:F219"/>
    <mergeCell ref="G219:H219"/>
    <mergeCell ref="A153:K153"/>
    <mergeCell ref="A256:K256"/>
    <mergeCell ref="A257:K257"/>
    <mergeCell ref="I259:K259"/>
    <mergeCell ref="B259:D259"/>
    <mergeCell ref="B195:D195"/>
    <mergeCell ref="I184:K184"/>
    <mergeCell ref="B220:K224"/>
    <mergeCell ref="A227:K227"/>
    <mergeCell ref="A228:K228"/>
    <mergeCell ref="E248:F248"/>
    <mergeCell ref="G248:H248"/>
    <mergeCell ref="B288:D288"/>
    <mergeCell ref="I230:K230"/>
    <mergeCell ref="B230:D230"/>
    <mergeCell ref="O1:Q1"/>
    <mergeCell ref="I288:K288"/>
    <mergeCell ref="I50:K50"/>
    <mergeCell ref="B50:D50"/>
    <mergeCell ref="I96:K96"/>
    <mergeCell ref="B96:D96"/>
    <mergeCell ref="I132:K132"/>
    <mergeCell ref="B132:D132"/>
    <mergeCell ref="I155:K155"/>
    <mergeCell ref="B155:D155"/>
    <mergeCell ref="I195:K195"/>
    <mergeCell ref="B146:K150"/>
    <mergeCell ref="A152:K152"/>
  </mergeCells>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dimension ref="A1:AB27"/>
  <sheetViews>
    <sheetView tabSelected="1" workbookViewId="0">
      <selection activeCell="Q32" sqref="Q32"/>
    </sheetView>
  </sheetViews>
  <sheetFormatPr baseColWidth="10" defaultRowHeight="15.6"/>
  <cols>
    <col min="1" max="20" width="3.19921875" customWidth="1"/>
    <col min="24" max="25" width="3.19921875" customWidth="1"/>
    <col min="26" max="26" width="4.5" customWidth="1"/>
    <col min="27" max="27" width="3.19921875" customWidth="1"/>
    <col min="28" max="28" width="3.796875" bestFit="1" customWidth="1"/>
  </cols>
  <sheetData>
    <row r="1" spans="1:28" ht="16.2" thickBot="1">
      <c r="A1" s="147"/>
      <c r="B1" s="152"/>
      <c r="C1" s="148"/>
      <c r="D1" s="149"/>
      <c r="E1" s="150"/>
      <c r="F1" s="148"/>
      <c r="G1" s="148"/>
      <c r="H1" s="149"/>
      <c r="I1" s="150"/>
      <c r="J1" s="148"/>
      <c r="K1" s="148"/>
      <c r="L1" s="148"/>
      <c r="M1" s="148"/>
      <c r="N1" s="165"/>
      <c r="O1" s="394" t="s">
        <v>178</v>
      </c>
      <c r="P1" s="395"/>
      <c r="Q1" s="395"/>
      <c r="R1" s="395"/>
      <c r="S1" s="395"/>
      <c r="T1" s="396"/>
      <c r="X1" s="177"/>
      <c r="Y1" s="146" t="s">
        <v>188</v>
      </c>
      <c r="Z1" s="146">
        <v>2.5</v>
      </c>
      <c r="AA1" s="146" t="s">
        <v>189</v>
      </c>
      <c r="AB1" s="146">
        <v>2.5</v>
      </c>
    </row>
    <row r="2" spans="1:28" ht="16.2" thickBot="1">
      <c r="A2" s="151"/>
      <c r="B2" s="152"/>
      <c r="C2" s="152"/>
      <c r="D2" s="153"/>
      <c r="E2" s="154"/>
      <c r="F2" s="152"/>
      <c r="G2" s="152"/>
      <c r="H2" s="153"/>
      <c r="I2" s="154"/>
      <c r="J2" s="152"/>
      <c r="K2" s="152"/>
      <c r="L2" s="152"/>
      <c r="M2" s="152"/>
      <c r="N2" s="166"/>
      <c r="O2" s="397"/>
      <c r="P2" s="398"/>
      <c r="Q2" s="398"/>
      <c r="R2" s="398"/>
      <c r="S2" s="398"/>
      <c r="T2" s="399"/>
    </row>
    <row r="3" spans="1:28" ht="16.2" thickBot="1">
      <c r="A3" s="151"/>
      <c r="B3" s="152"/>
      <c r="C3" s="159">
        <v>1</v>
      </c>
      <c r="D3" s="159">
        <v>2</v>
      </c>
      <c r="E3" s="159">
        <v>3</v>
      </c>
      <c r="F3" s="159">
        <v>4</v>
      </c>
      <c r="G3" s="159">
        <v>5</v>
      </c>
      <c r="H3" s="159">
        <v>6</v>
      </c>
      <c r="I3" s="159">
        <v>7</v>
      </c>
      <c r="J3" s="159">
        <v>8</v>
      </c>
      <c r="K3" s="152"/>
      <c r="L3" s="152"/>
      <c r="M3" s="152"/>
      <c r="N3" s="166"/>
      <c r="O3" s="397"/>
      <c r="P3" s="398"/>
      <c r="Q3" s="398"/>
      <c r="R3" s="398"/>
      <c r="S3" s="398"/>
      <c r="T3" s="399"/>
    </row>
    <row r="4" spans="1:28" ht="16.2" thickBot="1">
      <c r="A4" s="151"/>
      <c r="B4" s="152"/>
      <c r="C4" s="159">
        <v>9</v>
      </c>
      <c r="D4" s="159">
        <v>10</v>
      </c>
      <c r="E4" s="159">
        <v>11</v>
      </c>
      <c r="F4" s="159">
        <v>12</v>
      </c>
      <c r="G4" s="159">
        <v>13</v>
      </c>
      <c r="H4" s="159">
        <v>14</v>
      </c>
      <c r="I4" s="159">
        <v>15</v>
      </c>
      <c r="J4" s="159">
        <v>16</v>
      </c>
      <c r="K4" s="152"/>
      <c r="L4" s="152"/>
      <c r="M4" s="152"/>
      <c r="N4" s="166"/>
      <c r="O4" s="397"/>
      <c r="P4" s="398"/>
      <c r="Q4" s="398"/>
      <c r="R4" s="398"/>
      <c r="S4" s="398"/>
      <c r="T4" s="399"/>
    </row>
    <row r="5" spans="1:28">
      <c r="A5" s="151"/>
      <c r="B5" s="152"/>
      <c r="C5" s="160"/>
      <c r="D5" s="161"/>
      <c r="E5" s="162"/>
      <c r="F5" s="160"/>
      <c r="G5" s="160"/>
      <c r="H5" s="161"/>
      <c r="I5" s="162"/>
      <c r="J5" s="160"/>
      <c r="K5" s="152"/>
      <c r="L5" s="152"/>
      <c r="M5" s="152"/>
      <c r="N5" s="166"/>
      <c r="O5" s="397"/>
      <c r="P5" s="398"/>
      <c r="Q5" s="398"/>
      <c r="R5" s="398"/>
      <c r="S5" s="398"/>
      <c r="T5" s="399"/>
    </row>
    <row r="6" spans="1:28">
      <c r="A6" s="151"/>
      <c r="B6" s="160"/>
      <c r="C6" s="160"/>
      <c r="D6" s="161"/>
      <c r="E6" s="162"/>
      <c r="F6" s="160"/>
      <c r="G6" s="160"/>
      <c r="H6" s="161"/>
      <c r="I6" s="162"/>
      <c r="J6" s="160"/>
      <c r="K6" s="152"/>
      <c r="L6" s="152"/>
      <c r="M6" s="152"/>
      <c r="N6" s="166"/>
      <c r="O6" s="397"/>
      <c r="P6" s="398"/>
      <c r="Q6" s="398"/>
      <c r="R6" s="398"/>
      <c r="S6" s="398"/>
      <c r="T6" s="399"/>
    </row>
    <row r="7" spans="1:28" ht="16.2" thickBot="1">
      <c r="A7" s="151"/>
      <c r="B7" s="160"/>
      <c r="C7" s="160"/>
      <c r="D7" s="161"/>
      <c r="E7" s="162"/>
      <c r="F7" s="160"/>
      <c r="G7" s="160"/>
      <c r="H7" s="161"/>
      <c r="I7" s="162"/>
      <c r="J7" s="160"/>
      <c r="K7" s="152"/>
      <c r="L7" s="152"/>
      <c r="M7" s="160"/>
      <c r="N7" s="166"/>
      <c r="O7" s="397"/>
      <c r="P7" s="398"/>
      <c r="Q7" s="398"/>
      <c r="R7" s="398"/>
      <c r="S7" s="398"/>
      <c r="T7" s="399"/>
    </row>
    <row r="8" spans="1:28" ht="16.2" thickBot="1">
      <c r="A8" s="151"/>
      <c r="B8" s="160"/>
      <c r="C8" s="163">
        <v>1</v>
      </c>
      <c r="D8" s="163">
        <v>2</v>
      </c>
      <c r="E8" s="163">
        <v>3</v>
      </c>
      <c r="F8" s="163">
        <v>4</v>
      </c>
      <c r="G8" s="163">
        <v>5</v>
      </c>
      <c r="H8" s="163">
        <v>6</v>
      </c>
      <c r="I8" s="163">
        <v>7</v>
      </c>
      <c r="J8" s="163">
        <v>8</v>
      </c>
      <c r="K8" s="163">
        <v>9</v>
      </c>
      <c r="L8" s="163">
        <v>10</v>
      </c>
      <c r="M8" s="160"/>
      <c r="N8" s="166"/>
      <c r="O8" s="397"/>
      <c r="P8" s="398"/>
      <c r="Q8" s="398"/>
      <c r="R8" s="398"/>
      <c r="S8" s="398"/>
      <c r="T8" s="399"/>
    </row>
    <row r="9" spans="1:28" ht="16.2" thickBot="1">
      <c r="A9" s="151"/>
      <c r="B9" s="160"/>
      <c r="C9" s="163">
        <v>11</v>
      </c>
      <c r="D9" s="163">
        <v>12</v>
      </c>
      <c r="E9" s="163">
        <v>13</v>
      </c>
      <c r="F9" s="163">
        <v>14</v>
      </c>
      <c r="G9" s="163">
        <v>15</v>
      </c>
      <c r="H9" s="163">
        <v>16</v>
      </c>
      <c r="I9" s="163">
        <v>17</v>
      </c>
      <c r="J9" s="163">
        <v>18</v>
      </c>
      <c r="K9" s="163">
        <v>19</v>
      </c>
      <c r="L9" s="163">
        <v>20</v>
      </c>
      <c r="M9" s="160"/>
      <c r="N9" s="166"/>
      <c r="O9" s="397"/>
      <c r="P9" s="398"/>
      <c r="Q9" s="398"/>
      <c r="R9" s="398"/>
      <c r="S9" s="398"/>
      <c r="T9" s="399"/>
    </row>
    <row r="10" spans="1:28">
      <c r="A10" s="151"/>
      <c r="B10" s="160"/>
      <c r="C10" s="152"/>
      <c r="D10" s="153"/>
      <c r="E10" s="154"/>
      <c r="F10" s="152"/>
      <c r="G10" s="152"/>
      <c r="H10" s="153"/>
      <c r="I10" s="154"/>
      <c r="J10" s="152"/>
      <c r="K10" s="152"/>
      <c r="L10" s="152"/>
      <c r="M10" s="160"/>
      <c r="N10" s="166"/>
      <c r="O10" s="397"/>
      <c r="P10" s="398"/>
      <c r="Q10" s="398"/>
      <c r="R10" s="398"/>
      <c r="S10" s="398"/>
      <c r="T10" s="399"/>
    </row>
    <row r="11" spans="1:28">
      <c r="A11" s="151"/>
      <c r="B11" s="160"/>
      <c r="C11" s="152"/>
      <c r="D11" s="153"/>
      <c r="E11" s="154"/>
      <c r="F11" s="152"/>
      <c r="G11" s="152"/>
      <c r="H11" s="153"/>
      <c r="I11" s="154"/>
      <c r="J11" s="152"/>
      <c r="K11" s="152"/>
      <c r="L11" s="152"/>
      <c r="M11" s="152"/>
      <c r="N11" s="166"/>
      <c r="O11" s="397"/>
      <c r="P11" s="398"/>
      <c r="Q11" s="398"/>
      <c r="R11" s="398"/>
      <c r="S11" s="398"/>
      <c r="T11" s="399"/>
    </row>
    <row r="12" spans="1:28" ht="16.2" thickBot="1">
      <c r="A12" s="151"/>
      <c r="B12" s="160"/>
      <c r="C12" s="152"/>
      <c r="D12" s="153"/>
      <c r="E12" s="154"/>
      <c r="F12" s="152"/>
      <c r="G12" s="152"/>
      <c r="H12" s="153"/>
      <c r="I12" s="154"/>
      <c r="J12" s="152"/>
      <c r="K12" s="152"/>
      <c r="L12" s="152"/>
      <c r="M12" s="152"/>
      <c r="N12" s="166"/>
      <c r="O12" s="397"/>
      <c r="P12" s="398"/>
      <c r="Q12" s="398"/>
      <c r="R12" s="398"/>
      <c r="S12" s="398"/>
      <c r="T12" s="399"/>
    </row>
    <row r="13" spans="1:28" ht="16.2" thickBot="1">
      <c r="A13" s="151"/>
      <c r="B13" s="152"/>
      <c r="C13" s="164">
        <v>17</v>
      </c>
      <c r="D13" s="164">
        <v>18</v>
      </c>
      <c r="E13" s="164">
        <v>19</v>
      </c>
      <c r="F13" s="164">
        <v>20</v>
      </c>
      <c r="G13" s="164">
        <v>21</v>
      </c>
      <c r="H13" s="164">
        <v>22</v>
      </c>
      <c r="I13" s="164">
        <v>23</v>
      </c>
      <c r="J13" s="164">
        <v>24</v>
      </c>
      <c r="K13" s="152"/>
      <c r="L13" s="152"/>
      <c r="M13" s="152"/>
      <c r="N13" s="166"/>
      <c r="O13" s="397"/>
      <c r="P13" s="398"/>
      <c r="Q13" s="398"/>
      <c r="R13" s="398"/>
      <c r="S13" s="398"/>
      <c r="T13" s="399"/>
    </row>
    <row r="14" spans="1:28" ht="16.2" thickBot="1">
      <c r="A14" s="151"/>
      <c r="B14" s="152"/>
      <c r="C14" s="164">
        <v>25</v>
      </c>
      <c r="D14" s="164">
        <v>26</v>
      </c>
      <c r="E14" s="164">
        <v>27</v>
      </c>
      <c r="F14" s="164">
        <v>28</v>
      </c>
      <c r="G14" s="164">
        <v>29</v>
      </c>
      <c r="H14" s="164">
        <v>30</v>
      </c>
      <c r="I14" s="164">
        <v>31</v>
      </c>
      <c r="J14" s="164">
        <v>32</v>
      </c>
      <c r="K14" s="152"/>
      <c r="L14" s="152"/>
      <c r="M14" s="152"/>
      <c r="N14" s="166"/>
      <c r="O14" s="397"/>
      <c r="P14" s="398"/>
      <c r="Q14" s="398"/>
      <c r="R14" s="398"/>
      <c r="S14" s="398"/>
      <c r="T14" s="399"/>
    </row>
    <row r="15" spans="1:28">
      <c r="A15" s="151"/>
      <c r="B15" s="152"/>
      <c r="C15" s="152"/>
      <c r="D15" s="153"/>
      <c r="E15" s="154"/>
      <c r="F15" s="152"/>
      <c r="G15" s="152"/>
      <c r="H15" s="153"/>
      <c r="I15" s="154"/>
      <c r="J15" s="152"/>
      <c r="K15" s="152"/>
      <c r="L15" s="152"/>
      <c r="M15" s="152"/>
      <c r="N15" s="166"/>
      <c r="O15" s="397"/>
      <c r="P15" s="398"/>
      <c r="Q15" s="398"/>
      <c r="R15" s="398"/>
      <c r="S15" s="398"/>
      <c r="T15" s="399"/>
    </row>
    <row r="16" spans="1:28" ht="16.2" thickBot="1">
      <c r="A16" s="155"/>
      <c r="B16" s="156"/>
      <c r="C16" s="156"/>
      <c r="D16" s="157"/>
      <c r="E16" s="158"/>
      <c r="F16" s="156"/>
      <c r="G16" s="156"/>
      <c r="H16" s="157"/>
      <c r="I16" s="158"/>
      <c r="J16" s="156"/>
      <c r="K16" s="156"/>
      <c r="L16" s="156"/>
      <c r="M16" s="156"/>
      <c r="N16" s="167"/>
      <c r="O16" s="400"/>
      <c r="P16" s="401"/>
      <c r="Q16" s="401"/>
      <c r="R16" s="401"/>
      <c r="S16" s="401"/>
      <c r="T16" s="402"/>
    </row>
    <row r="19" spans="2:11">
      <c r="B19" s="393" t="s">
        <v>190</v>
      </c>
      <c r="C19" s="393"/>
      <c r="D19" s="393"/>
      <c r="E19" s="393"/>
      <c r="F19" s="393"/>
      <c r="G19" s="393"/>
      <c r="H19" s="393"/>
      <c r="I19" s="393"/>
      <c r="J19" s="393">
        <f>2*2*20</f>
        <v>80</v>
      </c>
      <c r="K19" s="393"/>
    </row>
    <row r="20" spans="2:11">
      <c r="B20" s="393" t="s">
        <v>191</v>
      </c>
      <c r="C20" s="393"/>
      <c r="D20" s="393"/>
      <c r="E20" s="393"/>
      <c r="F20" s="393"/>
      <c r="G20" s="393"/>
      <c r="H20" s="393"/>
      <c r="I20" s="393"/>
      <c r="J20" s="393">
        <f>2.5*2.5*32</f>
        <v>200</v>
      </c>
      <c r="K20" s="393"/>
    </row>
    <row r="21" spans="2:11" ht="15.75" customHeight="1">
      <c r="B21" s="391" t="s">
        <v>192</v>
      </c>
      <c r="C21" s="391"/>
      <c r="D21" s="391"/>
      <c r="E21" s="391"/>
      <c r="F21" s="391"/>
      <c r="G21" s="391"/>
      <c r="H21" s="391"/>
      <c r="I21" s="391"/>
      <c r="J21" s="392">
        <f>15*40</f>
        <v>600</v>
      </c>
      <c r="K21" s="392"/>
    </row>
    <row r="22" spans="2:11">
      <c r="B22" s="391"/>
      <c r="C22" s="391"/>
      <c r="D22" s="391"/>
      <c r="E22" s="391"/>
      <c r="F22" s="391"/>
      <c r="G22" s="391"/>
      <c r="H22" s="391"/>
      <c r="I22" s="391"/>
      <c r="J22" s="392"/>
      <c r="K22" s="392"/>
    </row>
    <row r="23" spans="2:11">
      <c r="B23" s="391"/>
      <c r="C23" s="391"/>
      <c r="D23" s="391"/>
      <c r="E23" s="391"/>
      <c r="F23" s="391"/>
      <c r="G23" s="391"/>
      <c r="H23" s="391"/>
      <c r="I23" s="391"/>
      <c r="J23" s="392"/>
      <c r="K23" s="392"/>
    </row>
    <row r="24" spans="2:11">
      <c r="B24" s="391" t="s">
        <v>193</v>
      </c>
      <c r="C24" s="391"/>
      <c r="D24" s="391"/>
      <c r="E24" s="391"/>
      <c r="F24" s="391"/>
      <c r="G24" s="391"/>
      <c r="H24" s="391"/>
      <c r="I24" s="391"/>
      <c r="J24" s="392">
        <f>50*40</f>
        <v>2000</v>
      </c>
      <c r="K24" s="392"/>
    </row>
    <row r="25" spans="2:11">
      <c r="B25" s="391"/>
      <c r="C25" s="391"/>
      <c r="D25" s="391"/>
      <c r="E25" s="391"/>
      <c r="F25" s="391"/>
      <c r="G25" s="391"/>
      <c r="H25" s="391"/>
      <c r="I25" s="391"/>
      <c r="J25" s="392"/>
      <c r="K25" s="392"/>
    </row>
    <row r="27" spans="2:11">
      <c r="B27" s="393" t="s">
        <v>194</v>
      </c>
      <c r="C27" s="393"/>
      <c r="D27" s="393"/>
      <c r="E27" s="393"/>
      <c r="F27" s="393"/>
      <c r="G27" s="393"/>
      <c r="H27" s="393"/>
      <c r="I27" s="393"/>
      <c r="J27" s="386">
        <f>J24-(J19+J20+J21)</f>
        <v>1120</v>
      </c>
      <c r="K27" s="386"/>
    </row>
  </sheetData>
  <mergeCells count="11">
    <mergeCell ref="O1:T16"/>
    <mergeCell ref="B20:I20"/>
    <mergeCell ref="B19:I19"/>
    <mergeCell ref="J20:K20"/>
    <mergeCell ref="J19:K19"/>
    <mergeCell ref="B24:I25"/>
    <mergeCell ref="J24:K25"/>
    <mergeCell ref="B27:I27"/>
    <mergeCell ref="J27:K27"/>
    <mergeCell ref="B21:I23"/>
    <mergeCell ref="J21:K23"/>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Recap détaillée</vt:lpstr>
      <vt:lpstr>TF plateforme commerciale</vt:lpstr>
      <vt:lpstr>Voirie</vt:lpstr>
      <vt:lpstr>Marché et transport</vt:lpstr>
      <vt:lpstr>Equipements de proximité</vt:lpstr>
      <vt:lpstr>2 zones</vt:lpstr>
      <vt:lpstr>Assamo Marchés</vt:lpstr>
      <vt:lpstr>Place à vivre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dc:creator>
  <cp:lastModifiedBy>mmdjama</cp:lastModifiedBy>
  <cp:lastPrinted>2016-05-22T18:50:41Z</cp:lastPrinted>
  <dcterms:created xsi:type="dcterms:W3CDTF">2016-04-06T13:11:26Z</dcterms:created>
  <dcterms:modified xsi:type="dcterms:W3CDTF">2017-01-09T06:30:16Z</dcterms:modified>
</cp:coreProperties>
</file>